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png" ContentType="image/png"/>
  <Override PartName="/xl/media/image2.wmf" ContentType="image/x-wmf"/>
  <Override PartName="/xl/media/image3.jpeg" ContentType="image/jpeg"/>
  <Override PartName="/xl/media/image4.wmf" ContentType="image/x-wmf"/>
  <Override PartName="/xl/media/image16.wmf" ContentType="image/x-wmf"/>
  <Override PartName="/xl/media/image5.png" ContentType="image/png"/>
  <Override PartName="/xl/media/image6.wmf" ContentType="image/x-wmf"/>
  <Override PartName="/xl/media/image8.png" ContentType="image/png"/>
  <Override PartName="/xl/media/image7.wmf" ContentType="image/x-wmf"/>
  <Override PartName="/xl/media/image9.png" ContentType="image/png"/>
  <Override PartName="/xl/media/image10.png" ContentType="image/png"/>
  <Override PartName="/xl/media/image11.png" ContentType="image/png"/>
  <Override PartName="/xl/media/image12.png" ContentType="image/png"/>
  <Override PartName="/xl/media/image13.wmf" ContentType="image/x-wmf"/>
  <Override PartName="/xl/media/image14.wmf" ContentType="image/x-wmf"/>
  <Override PartName="/xl/media/image15.wmf" ContentType="image/x-wmf"/>
  <Override PartName="/xl/media/image17.png" ContentType="image/png"/>
  <Override PartName="/xl/media/image18.png" ContentType="image/png"/>
  <Override PartName="/xl/media/image19.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mpressible flow"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<sst xmlns="http://schemas.openxmlformats.org/spreadsheetml/2006/main" count="230" uniqueCount="140">
  <si>
    <t xml:space="preserve">FOR EDUCATIONAL PURPOSE ONLY – DO NOT USE THIS METHOD FOR DETAIL DESIGN – ALWAYS CONSULT A REPUTABLE SUPPLIER FOR DETAIL DESIGN</t>
  </si>
  <si>
    <t xml:space="preserve">Valid in TURBULENT FLOW</t>
  </si>
  <si>
    <t xml:space="preserve">Valid for compressible fluid (gas)</t>
  </si>
  <si>
    <t xml:space="preserve">Gas</t>
  </si>
  <si>
    <t xml:space="preserve">γ = c p / c v</t>
  </si>
  <si>
    <r>
      <rPr>
        <b val="true"/>
        <sz val="10"/>
        <color rgb="FF222222"/>
        <rFont val="Arial"/>
        <family val="2"/>
        <charset val="1"/>
      </rPr>
      <t xml:space="preserve">Min. P</t>
    </r>
    <r>
      <rPr>
        <b val="true"/>
        <vertAlign val="subscript"/>
        <sz val="7"/>
        <color rgb="FF222222"/>
        <rFont val="Arial"/>
        <family val="2"/>
        <charset val="1"/>
      </rPr>
      <t xml:space="preserve">u</t>
    </r>
    <r>
      <rPr>
        <b val="true"/>
        <sz val="10"/>
        <color rgb="FF222222"/>
        <rFont val="Arial"/>
        <family val="2"/>
        <charset val="1"/>
      </rPr>
      <t xml:space="preserve">/P</t>
    </r>
    <r>
      <rPr>
        <b val="true"/>
        <vertAlign val="subscript"/>
        <sz val="7"/>
        <color rgb="FF222222"/>
        <rFont val="Arial"/>
        <family val="2"/>
        <charset val="1"/>
      </rPr>
      <t xml:space="preserve">d</t>
    </r>
  </si>
  <si>
    <t xml:space="preserve">Valid only if not choked flow and if the pressure drop in each section is &lt;10% of the inlet pressure of the section</t>
  </si>
  <si>
    <t xml:space="preserve">for choked flow</t>
  </si>
  <si>
    <t xml:space="preserve">For very long gas pipeline calculations please refer to Panhandle…etc… equations</t>
  </si>
  <si>
    <t xml:space="preserve">Dry air</t>
  </si>
  <si>
    <t xml:space="preserve">1.400 at 20 °C</t>
  </si>
  <si>
    <t xml:space="preserve">Nitrogen</t>
  </si>
  <si>
    <t xml:space="preserve">1.404 at 15 °C</t>
  </si>
  <si>
    <t xml:space="preserve">Open</t>
  </si>
  <si>
    <t xml:space="preserve">To modify</t>
  </si>
  <si>
    <t xml:space="preserve">Calculated</t>
  </si>
  <si>
    <t xml:space="preserve">Oxygen</t>
  </si>
  <si>
    <t xml:space="preserve">1/2 Open</t>
  </si>
  <si>
    <t xml:space="preserve">3/4 Open</t>
  </si>
  <si>
    <t xml:space="preserve">Helium</t>
  </si>
  <si>
    <t xml:space="preserve">1.660 at 20 °C</t>
  </si>
  <si>
    <t xml:space="preserve">Initial pressure</t>
  </si>
  <si>
    <t xml:space="preserve">bar g</t>
  </si>
  <si>
    <t xml:space="preserve">To calculate the pressure drop at a given gas rate, cut the pipeline in different section and describe them thanks to the table below. Then enter the flowrate expected in cell C17, read the pressure drop in cell C18. Sections pressure drops are in section CI.
If the pressure drop is given and you wish to calculate the flow, enter the given pressure drop in cell C21 and modify C17 until cell C22 is equal to 0
In any case always make sure there is no choked flow</t>
  </si>
  <si>
    <t xml:space="preserve">Hydrogen</t>
  </si>
  <si>
    <t xml:space="preserve">1.410 at 20 °C</t>
  </si>
  <si>
    <t xml:space="preserve">1/4 Open</t>
  </si>
  <si>
    <t xml:space="preserve">Gas molecular weight</t>
  </si>
  <si>
    <t xml:space="preserve">g/mol</t>
  </si>
  <si>
    <t xml:space="preserve">Methane</t>
  </si>
  <si>
    <t xml:space="preserve">Temperature</t>
  </si>
  <si>
    <t xml:space="preserve">degrees</t>
  </si>
  <si>
    <t xml:space="preserve">Propane</t>
  </si>
  <si>
    <t xml:space="preserve">Gamma = Cp/Cv</t>
  </si>
  <si>
    <t xml:space="preserve">Butane</t>
  </si>
  <si>
    <t xml:space="preserve">Initial specific gravity</t>
  </si>
  <si>
    <t xml:space="preserve">kg/m3</t>
  </si>
  <si>
    <t xml:space="preserve">Ammonia</t>
  </si>
  <si>
    <t xml:space="preserve">1.310 at 15 °C</t>
  </si>
  <si>
    <t xml:space="preserve">Chlorine</t>
  </si>
  <si>
    <t xml:space="preserve">Sulfur dioxide</t>
  </si>
  <si>
    <t xml:space="preserve">1.290 at 15 °C</t>
  </si>
  <si>
    <t xml:space="preserve">Pipe flow</t>
  </si>
  <si>
    <t xml:space="preserve">kg/h</t>
  </si>
  <si>
    <t xml:space="preserve">Carbon monoxide</t>
  </si>
  <si>
    <t xml:space="preserve">Actual DP</t>
  </si>
  <si>
    <t xml:space="preserve">bar</t>
  </si>
  <si>
    <t xml:space="preserve">Valid calculation ?</t>
  </si>
  <si>
    <t xml:space="preserve">Carbon dioxide</t>
  </si>
  <si>
    <t xml:space="preserve">If choked flow or pressure drop on a section &gt;10% of inlet pressure, then calculation is not valid</t>
  </si>
  <si>
    <t xml:space="preserve">Various pressure drops</t>
  </si>
  <si>
    <t xml:space="preserve">If resolution = flow for a given DP</t>
  </si>
  <si>
    <t xml:space="preserve">Available DP</t>
  </si>
  <si>
    <t xml:space="preserve">Available - Actual</t>
  </si>
  <si>
    <t xml:space="preserve">Bring this value to 0 by modifying the pipe flow in cell C17</t>
  </si>
  <si>
    <t xml:space="preserve">Chose teta as 10,15,20,30,45</t>
  </si>
  <si>
    <t xml:space="preserve">Pipe section</t>
  </si>
  <si>
    <t xml:space="preserve">Fluid</t>
  </si>
  <si>
    <t xml:space="preserve">Specific gravity</t>
  </si>
  <si>
    <t xml:space="preserve">Dynamic viscosity</t>
  </si>
  <si>
    <t xml:space="preserve">Pipe diameter</t>
  </si>
  <si>
    <t xml:space="preserve">Pipe length</t>
  </si>
  <si>
    <t xml:space="preserve">Height difference DZ</t>
  </si>
  <si>
    <t xml:space="preserve">Roughness</t>
  </si>
  <si>
    <t xml:space="preserve">Relative roughness</t>
  </si>
  <si>
    <t xml:space="preserve">Volumetric flow</t>
  </si>
  <si>
    <t xml:space="preserve">Fluid velocity</t>
  </si>
  <si>
    <t xml:space="preserve">Reynolds</t>
  </si>
  <si>
    <r>
      <rPr>
        <b val="true"/>
        <sz val="11"/>
        <color rgb="FF000000"/>
        <rFont val="Calibri"/>
        <family val="2"/>
        <charset val="1"/>
      </rPr>
      <t xml:space="preserve">Moody</t>
    </r>
    <r>
      <rPr>
        <sz val="11"/>
        <color rgb="FF000000"/>
        <rFont val="Calibri"/>
        <family val="2"/>
        <charset val="1"/>
      </rPr>
      <t xml:space="preserve"> friction factor</t>
    </r>
  </si>
  <si>
    <t xml:space="preserve">Flanged</t>
  </si>
  <si>
    <t xml:space="preserve">rho</t>
  </si>
  <si>
    <t xml:space="preserve">mu</t>
  </si>
  <si>
    <t xml:space="preserve">D</t>
  </si>
  <si>
    <t xml:space="preserve">L</t>
  </si>
  <si>
    <t xml:space="preserve">H</t>
  </si>
  <si>
    <t xml:space="preserve">e</t>
  </si>
  <si>
    <t xml:space="preserve">e/D</t>
  </si>
  <si>
    <t xml:space="preserve">Qm</t>
  </si>
  <si>
    <t xml:space="preserve">Qv</t>
  </si>
  <si>
    <t xml:space="preserve">u</t>
  </si>
  <si>
    <t xml:space="preserve">Re</t>
  </si>
  <si>
    <t xml:space="preserve">A</t>
  </si>
  <si>
    <t xml:space="preserve">B</t>
  </si>
  <si>
    <t xml:space="preserve">f</t>
  </si>
  <si>
    <r>
      <rPr>
        <sz val="10"/>
        <rFont val="Arial"/>
        <family val="2"/>
        <charset val="1"/>
      </rPr>
      <t xml:space="preserve">90</t>
    </r>
    <r>
      <rPr>
        <sz val="11"/>
        <color rgb="FF000000"/>
        <rFont val="Calibri"/>
        <family val="2"/>
        <charset val="1"/>
      </rPr>
      <t xml:space="preserve">° elbow</t>
    </r>
  </si>
  <si>
    <t xml:space="preserve">Standard</t>
  </si>
  <si>
    <t xml:space="preserve">Long radius</t>
  </si>
  <si>
    <t xml:space="preserve">45° elbow</t>
  </si>
  <si>
    <t xml:space="preserve">Coupling</t>
  </si>
  <si>
    <t xml:space="preserve">Globe valve</t>
  </si>
  <si>
    <t xml:space="preserve">Needle valve / plug disk</t>
  </si>
  <si>
    <t xml:space="preserve">Gate valve</t>
  </si>
  <si>
    <t xml:space="preserve">Butterfly valve</t>
  </si>
  <si>
    <t xml:space="preserve">Ball Valve</t>
  </si>
  <si>
    <t xml:space="preserve">Diaphragm</t>
  </si>
  <si>
    <t xml:space="preserve">Angle valve</t>
  </si>
  <si>
    <t xml:space="preserve">Tank inlet</t>
  </si>
  <si>
    <t xml:space="preserve">Tank outlet</t>
  </si>
  <si>
    <t xml:space="preserve">Sudden enlargement</t>
  </si>
  <si>
    <t xml:space="preserve">Sudden contraction</t>
  </si>
  <si>
    <t xml:space="preserve">Progressive enlargement</t>
  </si>
  <si>
    <t xml:space="preserve">Progressive contraction</t>
  </si>
  <si>
    <t xml:space="preserve">R.O</t>
  </si>
  <si>
    <t xml:space="preserve">Pa.s</t>
  </si>
  <si>
    <t xml:space="preserve">m</t>
  </si>
  <si>
    <t xml:space="preserve">mm</t>
  </si>
  <si>
    <t xml:space="preserve">m3/h</t>
  </si>
  <si>
    <t xml:space="preserve">m/s</t>
  </si>
  <si>
    <t xml:space="preserve">Number</t>
  </si>
  <si>
    <t xml:space="preserve">k</t>
  </si>
  <si>
    <t xml:space="preserve">Total k</t>
  </si>
  <si>
    <t xml:space="preserve">d</t>
  </si>
  <si>
    <t xml:space="preserve">teta</t>
  </si>
  <si>
    <t xml:space="preserve">C</t>
  </si>
  <si>
    <t xml:space="preserve">Sum k</t>
  </si>
  <si>
    <t xml:space="preserve">Valve and fitting pressure drop (Pa)</t>
  </si>
  <si>
    <t xml:space="preserve">Straight pipe pressure drop</t>
  </si>
  <si>
    <t xml:space="preserve">Elevation</t>
  </si>
  <si>
    <t xml:space="preserve">Total</t>
  </si>
  <si>
    <t xml:space="preserve">Pressure bar abs</t>
  </si>
  <si>
    <t xml:space="preserve">% difference : pressure drop vs inlet pressure</t>
  </si>
  <si>
    <t xml:space="preserve">Density</t>
  </si>
  <si>
    <t xml:space="preserve">Choked flow check</t>
  </si>
  <si>
    <t xml:space="preserve">Section 1</t>
  </si>
  <si>
    <t xml:space="preserve">Section 2</t>
  </si>
  <si>
    <t xml:space="preserve">Section 3</t>
  </si>
  <si>
    <t xml:space="preserve">Section 4</t>
  </si>
  <si>
    <t xml:space="preserve">Section 5</t>
  </si>
  <si>
    <t xml:space="preserve">Section 6</t>
  </si>
  <si>
    <t xml:space="preserve">Section 7</t>
  </si>
  <si>
    <t xml:space="preserve">Section 8</t>
  </si>
  <si>
    <t xml:space="preserve">Section 9</t>
  </si>
  <si>
    <t xml:space="preserve">Section 10</t>
  </si>
  <si>
    <t xml:space="preserve">Sources</t>
  </si>
  <si>
    <t xml:space="preserve">Perry page 6-18</t>
  </si>
  <si>
    <t xml:space="preserve">Mecanique et Rheologies des fluides en genie chimique, Midoux, page 329-330</t>
  </si>
  <si>
    <t xml:space="preserve">Applied Process Design Volume 1 - Ludwig - Gulf Professional page 69</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</si>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</sst>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3">
    <numFmt numFmtId="164" formatCode="General"/>
    <numFmt numFmtId="165" formatCode="General"/>
    <numFmt numFmtId="166" formatCode="0.00E+00"/>
  </numFmts>
  <fonts count="23">
    <font>
      <sz val="10"/>
      <name val="Arial"/>
      <family val="2"/>
      <charset val="1"/>
    </font>
    <font>
      <sz val="10"/>
      <name val="Arial"/>
      <family val="0"/>
    </font>
    <font>
      <sz val="10"/>
      <name val="Arial"/>
      <family val="0"/>
    </font>
    <font>
      <sz val="10"/>
      <name val="Arial"/>
      <family val="0"/>
    </font>
    <font>
      <b val="true"/>
      <sz val="10"/>
      <color rgb="FF222222"/>
      <name val="Arial"/>
      <family val="2"/>
      <charset val="1"/>
    </font>
    <font>
      <b val="true"/>
      <sz val="12"/>
      <color rgb="FF222222"/>
      <name val="Arial"/>
      <family val="2"/>
      <charset val="1"/>
    </font>
    <font>
      <b val="true"/>
      <vertAlign val="subscript"/>
      <sz val="7"/>
      <color rgb="FF222222"/>
      <name val="Arial"/>
      <family val="2"/>
      <charset val="1"/>
    </font>
    <font>
      <sz val="10"/>
      <color rgb="FF222222"/>
      <name val="Arial"/>
      <family val="2"/>
      <charset val="1"/>
    </font>
    <font>
      <b val="true"/>
      <sz val="11"/>
      <color rgb="FF1F497D"/>
      <name val="Calibri"/>
      <family val="2"/>
      <charset val="1"/>
    </font>
    <font>
      <b val="true"/>
      <sz val="11"/>
      <color rgb="FFFF0000"/>
      <name val="Calibri"/>
      <family val="2"/>
      <charset val="1"/>
    </font>
    <font>
      <b val="true"/>
      <sz val="8"/>
      <name val="Arial"/>
      <family val="2"/>
      <charset val="1"/>
    </font>
    <font>
      <i val="true"/>
      <sz val="11"/>
      <color rgb="FF000000"/>
      <name val="Calibri"/>
      <family val="2"/>
      <charset val="1"/>
    </font>
    <font>
      <b val="true"/>
      <sz val="11"/>
      <color rgb="FF000000"/>
      <name val="Calibri"/>
      <family val="2"/>
      <charset val="1"/>
    </font>
    <font>
      <sz val="10"/>
      <color rgb="FF000000"/>
      <name val="Calibri"/>
      <family val="2"/>
      <charset val="1"/>
    </font>
    <font>
      <sz val="11"/>
      <color rgb="FF000000"/>
      <name val="Calibri"/>
      <family val="2"/>
      <charset val="1"/>
    </font>
    <font>
      <sz val="11"/>
      <color rgb="FFFF0000"/>
      <name val="Calibri"/>
      <family val="2"/>
      <charset val="1"/>
    </font>
    <font>
      <b val="true"/>
      <sz val="9"/>
      <color rgb="FF1F497D"/>
      <name val="Calibri"/>
      <family val="2"/>
      <charset val="1"/>
    </font>
    <font>
      <b val="true"/>
      <sz val="8"/>
      <color rgb="FFFF0000"/>
      <name val="Calibri"/>
      <family val="2"/>
      <charset val="1"/>
    </font>
    <font>
      <b val="true"/>
      <sz val="10"/>
      <name val="Arial"/>
      <family val="2"/>
      <charset val="1"/>
    </font>
    <font>
      <sz val="9"/>
      <color rgb="FF000000"/>
      <name val="Tahoma"/>
      <family val="0"/>
      <charset val="1"/>
    </font>
    <font>
      <sz val="10"/>
      <color rgb="FF0000FF"/>
      <name val="Arial"/>
      <family val="2"/>
      <charset val="1"/>
    </font>
    <font>
      <sz val="10"/>
      <color rgb="FF0000FF"/>
      <name val="Times New Roman"/>
      <family val="1"/>
      <charset val="1"/>
    </font>
    <font>
      <i val="true"/>
      <sz val="10"/>
      <name val="Times New Roman"/>
      <family val="1"/>
      <charset val="1"/>
    </font>
  </fonts>
  <fills count="7">
    <fill>
      <patternFill patternType="none"/>
    </fill>
    <fill>
      <patternFill patternType="gray125"/>
    </fill>
    <fill>
      <patternFill patternType="solid">
        <fgColor rgb="FFF10D0C"/>
        <bgColor rgb="FFFF0000"/>
      </patternFill>
    </fill>
    <fill>
      <patternFill patternType="solid">
        <fgColor rgb="FFEAECF0"/>
        <bgColor rgb="FFEBF1DE"/>
      </patternFill>
    </fill>
    <fill>
      <patternFill patternType="solid">
        <fgColor rgb="FFF8F9FA"/>
        <bgColor rgb="FFFFFFFF"/>
      </patternFill>
    </fill>
    <fill>
      <patternFill patternType="solid">
        <fgColor rgb="FFEBF1DE"/>
        <bgColor rgb="FFEAECF0"/>
      </patternFill>
    </fill>
    <fill>
      <patternFill patternType="solid">
        <fgColor rgb="FFFCD5B5"/>
        <bgColor rgb="FFEBF1DE"/>
      </patternFill>
    </fill>
  </fills>
  <borders count="19">
    <border diagonalUp="false" diagonalDown="false">
      <left/>
      <right/>
      <top/>
      <bottom/>
      <diagonal/>
    </border>
    <border diagonalUp="false" diagonalDown="false">
      <left style="medium">
        <color rgb="FFA2A9B1"/>
      </left>
      <right style="medium">
        <color rgb="FFA2A9B1"/>
      </right>
      <top style="medium">
        <color rgb="FFA2A9B1"/>
      </top>
      <bottom style="medium">
        <color rgb="FFA2A9B1"/>
      </bottom>
      <diagonal/>
    </border>
    <border diagonalUp="false" diagonalDown="false">
      <left style="medium">
        <color rgb="FFA2A9B1"/>
      </left>
      <right style="medium">
        <color rgb="FFA2A9B1"/>
      </right>
      <top style="medium">
        <color rgb="FFA2A9B1"/>
      </top>
      <bottom/>
      <diagonal/>
    </border>
    <border diagonalUp="false" diagonalDown="false">
      <left style="medium">
        <color rgb="FFA2A9B1"/>
      </left>
      <right style="medium">
        <color rgb="FFA2A9B1"/>
      </right>
      <top/>
      <bottom style="medium">
        <color rgb="FFA2A9B1"/>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style="medium"/>
      <top style="medium"/>
      <bottom style="mediu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3" borderId="1" xfId="0" applyFont="true" applyBorder="true" applyAlignment="true" applyProtection="false">
      <alignment horizontal="center" vertical="center" textRotation="0" wrapText="true" indent="0" shrinkToFit="false"/>
      <protection locked="true" hidden="false"/>
    </xf>
    <xf numFmtId="164" fontId="5" fillId="3" borderId="1" xfId="0" applyFont="true" applyBorder="true" applyAlignment="true" applyProtection="false">
      <alignment horizontal="center" vertical="center" textRotation="0" wrapText="true" indent="0" shrinkToFit="false"/>
      <protection locked="true" hidden="false"/>
    </xf>
    <xf numFmtId="164" fontId="4" fillId="3" borderId="2" xfId="0" applyFont="true" applyBorder="true" applyAlignment="true" applyProtection="false">
      <alignment horizontal="center" vertical="center" textRotation="0" wrapText="true" indent="0" shrinkToFit="false"/>
      <protection locked="true" hidden="false"/>
    </xf>
    <xf numFmtId="164" fontId="4" fillId="3" borderId="3"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general" vertical="center" textRotation="0" wrapText="true" indent="0" shrinkToFit="false"/>
      <protection locked="true" hidden="false"/>
    </xf>
    <xf numFmtId="164" fontId="8" fillId="5" borderId="0" xfId="0" applyFont="true" applyBorder="false" applyAlignment="false" applyProtection="false">
      <alignment horizontal="general" vertical="bottom" textRotation="0" wrapText="false" indent="0" shrinkToFit="false"/>
      <protection locked="true" hidden="false"/>
    </xf>
    <xf numFmtId="164" fontId="9" fillId="6" borderId="0" xfId="0" applyFont="true" applyBorder="false" applyAlignment="false" applyProtection="false">
      <alignment horizontal="general" vertical="bottom" textRotation="0" wrapText="false" indent="0" shrinkToFit="false"/>
      <protection locked="true" hidden="false"/>
    </xf>
    <xf numFmtId="164" fontId="0" fillId="0" borderId="4" xfId="0" applyFont="true" applyBorder="true" applyAlignment="false" applyProtection="false">
      <alignment horizontal="general" vertical="bottom" textRotation="0" wrapText="false" indent="0" shrinkToFit="false"/>
      <protection locked="true" hidden="false"/>
    </xf>
    <xf numFmtId="164" fontId="8" fillId="5" borderId="5" xfId="0" applyFont="true" applyBorder="true" applyAlignment="false" applyProtection="true">
      <alignment horizontal="general" vertical="bottom"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true" applyAlignment="true" applyProtection="false">
      <alignment horizontal="center" vertical="center" textRotation="0" wrapText="tru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4" fontId="8" fillId="5" borderId="0" xfId="0" applyFont="true" applyBorder="true" applyAlignment="false" applyProtection="true">
      <alignment horizontal="general" vertical="bottom" textRotation="0" wrapText="false" indent="0" shrinkToFit="false"/>
      <protection locked="fals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4" fontId="0" fillId="0" borderId="9" xfId="0" applyFont="true" applyBorder="true" applyAlignment="false" applyProtection="false">
      <alignment horizontal="general" vertical="bottom" textRotation="0" wrapText="false" indent="0" shrinkToFit="false"/>
      <protection locked="true" hidden="false"/>
    </xf>
    <xf numFmtId="165" fontId="9" fillId="6" borderId="10" xfId="0" applyFont="tru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4" fontId="0" fillId="0" borderId="12" xfId="0" applyFont="true" applyBorder="true" applyAlignment="false" applyProtection="false">
      <alignment horizontal="general" vertical="bottom" textRotation="0" wrapText="false" indent="0" shrinkToFit="false"/>
      <protection locked="true" hidden="false"/>
    </xf>
    <xf numFmtId="164" fontId="9" fillId="6" borderId="13" xfId="0" applyFont="tru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5" xfId="0" applyFont="true" applyBorder="true" applyAlignment="true" applyProtection="false">
      <alignment horizontal="center" vertical="bottom" textRotation="0" wrapText="tru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16" xfId="0" applyFont="true" applyBorder="true" applyAlignment="false" applyProtection="false">
      <alignment horizontal="general" vertical="bottom" textRotation="0" wrapText="false" indent="0" shrinkToFit="false"/>
      <protection locked="true" hidden="false"/>
    </xf>
    <xf numFmtId="164" fontId="12" fillId="0" borderId="15" xfId="0" applyFont="true" applyBorder="true" applyAlignment="true" applyProtection="false">
      <alignment horizontal="center" vertical="bottom" textRotation="0" wrapText="false" indent="0" shrinkToFit="false"/>
      <protection locked="true" hidden="false"/>
    </xf>
    <xf numFmtId="164" fontId="15" fillId="0" borderId="7" xfId="0" applyFont="true" applyBorder="true" applyAlignment="false" applyProtection="false">
      <alignment horizontal="general" vertical="bottom" textRotation="0" wrapText="false" indent="0" shrinkToFit="false"/>
      <protection locked="true" hidden="false"/>
    </xf>
    <xf numFmtId="164" fontId="13" fillId="0" borderId="17" xfId="0" applyFont="true" applyBorder="true" applyAlignment="false" applyProtection="false">
      <alignment horizontal="general" vertical="bottom" textRotation="0" wrapText="false" indent="0" shrinkToFit="false"/>
      <protection locked="true" hidden="false"/>
    </xf>
    <xf numFmtId="164" fontId="13" fillId="0" borderId="8" xfId="0" applyFont="true" applyBorder="true" applyAlignment="false" applyProtection="false">
      <alignment horizontal="general" vertical="bottom" textRotation="0" wrapText="false" indent="0" shrinkToFit="false"/>
      <protection locked="true" hidden="false"/>
    </xf>
    <xf numFmtId="164" fontId="14" fillId="0" borderId="7" xfId="0" applyFont="true" applyBorder="true" applyAlignment="false" applyProtection="false">
      <alignment horizontal="general" vertical="bottom" textRotation="0" wrapText="false" indent="0" shrinkToFit="false"/>
      <protection locked="true" hidden="false"/>
    </xf>
    <xf numFmtId="164" fontId="13" fillId="0" borderId="18" xfId="0" applyFont="true" applyBorder="true" applyAlignment="false" applyProtection="false">
      <alignment horizontal="general" vertical="bottom" textRotation="0" wrapText="false" indent="0" shrinkToFit="false"/>
      <protection locked="true" hidden="false"/>
    </xf>
    <xf numFmtId="164" fontId="13" fillId="0" borderId="11"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0" borderId="5"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16" fillId="5" borderId="4" xfId="0" applyFont="true" applyBorder="true" applyAlignment="false" applyProtection="true">
      <alignment horizontal="general" vertical="bottom" textRotation="0" wrapText="false" indent="0" shrinkToFit="false"/>
      <protection locked="false" hidden="false"/>
    </xf>
    <xf numFmtId="165" fontId="9" fillId="6" borderId="5" xfId="0" applyFont="true" applyBorder="true" applyAlignment="false" applyProtection="false">
      <alignment horizontal="general" vertical="bottom" textRotation="0" wrapText="false" indent="0" shrinkToFit="false"/>
      <protection locked="true" hidden="false"/>
    </xf>
    <xf numFmtId="166" fontId="17" fillId="6" borderId="5"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true">
      <alignment horizontal="general" vertical="bottom" textRotation="0" wrapText="false" indent="0" shrinkToFit="false"/>
      <protection locked="false" hidden="false"/>
    </xf>
    <xf numFmtId="164" fontId="0" fillId="0" borderId="5" xfId="0" applyFont="false" applyBorder="true" applyAlignment="false" applyProtection="true">
      <alignment horizontal="general" vertical="bottom" textRotation="0" wrapText="false" indent="0" shrinkToFit="false"/>
      <protection locked="fals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16" fillId="5" borderId="7" xfId="0" applyFont="true" applyBorder="true" applyAlignment="false" applyProtection="true">
      <alignment horizontal="general" vertical="bottom" textRotation="0" wrapText="false" indent="0" shrinkToFit="false"/>
      <protection locked="false" hidden="false"/>
    </xf>
    <xf numFmtId="165" fontId="9" fillId="6" borderId="0" xfId="0" applyFont="true" applyBorder="true" applyAlignment="false" applyProtection="false">
      <alignment horizontal="general" vertical="bottom" textRotation="0" wrapText="false" indent="0" shrinkToFit="false"/>
      <protection locked="true" hidden="false"/>
    </xf>
    <xf numFmtId="166" fontId="17" fillId="6" borderId="0"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true">
      <alignment horizontal="general" vertical="bottom" textRotation="0" wrapText="false" indent="0" shrinkToFit="false"/>
      <protection locked="false" hidden="false"/>
    </xf>
    <xf numFmtId="164" fontId="0" fillId="0" borderId="0" xfId="0" applyFont="false" applyBorder="true" applyAlignment="false" applyProtection="true">
      <alignment horizontal="general" vertical="bottom" textRotation="0" wrapText="false" indent="0" shrinkToFit="false"/>
      <protection locked="false" hidden="false"/>
    </xf>
    <xf numFmtId="164" fontId="16" fillId="5" borderId="9" xfId="0" applyFont="true" applyBorder="true" applyAlignment="false" applyProtection="true">
      <alignment horizontal="general" vertical="bottom" textRotation="0" wrapText="false" indent="0" shrinkToFit="false"/>
      <protection locked="false" hidden="false"/>
    </xf>
    <xf numFmtId="164" fontId="8" fillId="5" borderId="10" xfId="0" applyFont="true" applyBorder="true" applyAlignment="false" applyProtection="true">
      <alignment horizontal="general" vertical="bottom" textRotation="0" wrapText="false" indent="0" shrinkToFit="false"/>
      <protection locked="false" hidden="false"/>
    </xf>
    <xf numFmtId="166" fontId="17" fillId="6" borderId="10" xfId="0" applyFont="tru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true">
      <alignment horizontal="general" vertical="bottom" textRotation="0" wrapText="false" indent="0" shrinkToFit="false"/>
      <protection locked="fals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true">
      <alignment horizontal="general" vertical="bottom" textRotation="0" wrapText="false" indent="0" shrinkToFit="false"/>
      <protection locked="fals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5" fontId="9" fillId="6" borderId="18"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4">
    <dxf>
      <fill>
        <patternFill>
          <bgColor rgb="FFFF0000"/>
        </patternFill>
      </fill>
    </dxf>
    <dxf>
      <font>
        <b val="0"/>
        <i val="0"/>
        <color rgb="FF006600"/>
      </font>
      <fill>
        <patternFill>
          <bgColor rgb="FFCCFFCC"/>
        </patternFill>
      </fill>
    </dxf>
    <dxf>
      <font>
        <b val="1"/>
        <i val="0"/>
        <color rgb="FFFFFFFF"/>
      </font>
      <fill>
        <patternFill>
          <bgColor rgb="FFCC0000"/>
        </patternFill>
      </fill>
    </dxf>
    <dxf>
      <fill>
        <patternFill>
          <bgColor rgb="FF92D050"/>
        </patternFill>
      </fill>
    </dxf>
  </dxfs>
  <colors>
    <indexedColors>
      <rgbColor rgb="FF000000"/>
      <rgbColor rgb="FFFFFFFF"/>
      <rgbColor rgb="FFFF0000"/>
      <rgbColor rgb="FF00FF00"/>
      <rgbColor rgb="FF0000FF"/>
      <rgbColor rgb="FFFFFF00"/>
      <rgbColor rgb="FFFF00FF"/>
      <rgbColor rgb="FF00FFFF"/>
      <rgbColor rgb="FFCC0000"/>
      <rgbColor rgb="FF006600"/>
      <rgbColor rgb="FF000080"/>
      <rgbColor rgb="FF808000"/>
      <rgbColor rgb="FF800080"/>
      <rgbColor rgb="FF008080"/>
      <rgbColor rgb="FFC0C0C0"/>
      <rgbColor rgb="FF808080"/>
      <rgbColor rgb="FF9999FF"/>
      <rgbColor rgb="FF993366"/>
      <rgbColor rgb="FFF8F9FA"/>
      <rgbColor rgb="FFEAECF0"/>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BF1DE"/>
      <rgbColor rgb="FFCCFFCC"/>
      <rgbColor rgb="FFFFFF99"/>
      <rgbColor rgb="FF99CCFF"/>
      <rgbColor rgb="FFFF99CC"/>
      <rgbColor rgb="FFCC99FF"/>
      <rgbColor rgb="FFFCD5B5"/>
      <rgbColor rgb="FF3366FF"/>
      <rgbColor rgb="FF33CCCC"/>
      <rgbColor rgb="FF92D050"/>
      <rgbColor rgb="FFFFCC00"/>
      <rgbColor rgb="FFFF9900"/>
      <rgbColor rgb="FFFF6600"/>
      <rgbColor rgb="FF666699"/>
      <rgbColor rgb="FFA2A9B1"/>
      <rgbColor rgb="FF003366"/>
      <rgbColor rgb="FF339966"/>
      <rgbColor rgb="FF003300"/>
      <rgbColor rgb="FF333300"/>
      <rgbColor rgb="FFF10D0C"/>
      <rgbColor rgb="FF993366"/>
      <rgbColor rgb="FF1F497D"/>
      <rgbColor rgb="FF222222"/>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wmf"/><Relationship Id="rId3" Type="http://schemas.openxmlformats.org/officeDocument/2006/relationships/image" Target="../media/image3.jpeg"/><Relationship Id="rId4" Type="http://schemas.openxmlformats.org/officeDocument/2006/relationships/image" Target="../media/image4.wmf"/><Relationship Id="rId5" Type="http://schemas.openxmlformats.org/officeDocument/2006/relationships/image" Target="../media/image5.png"/><Relationship Id="rId6" Type="http://schemas.openxmlformats.org/officeDocument/2006/relationships/image" Target="../media/image6.wmf"/><Relationship Id="rId7" Type="http://schemas.openxmlformats.org/officeDocument/2006/relationships/image" Target="../media/image7.wmf"/><Relationship Id="rId8" Type="http://schemas.openxmlformats.org/officeDocument/2006/relationships/image" Target="../media/image8.png"/><Relationship Id="rId9" Type="http://schemas.openxmlformats.org/officeDocument/2006/relationships/image" Target="../media/image9.png"/><Relationship Id="rId10" Type="http://schemas.openxmlformats.org/officeDocument/2006/relationships/image" Target="../media/image10.png"/><Relationship Id="rId11" Type="http://schemas.openxmlformats.org/officeDocument/2006/relationships/image" Target="../media/image11.png"/><Relationship Id="rId12" Type="http://schemas.openxmlformats.org/officeDocument/2006/relationships/image" Target="../media/image12.png"/><Relationship Id="rId13" Type="http://schemas.openxmlformats.org/officeDocument/2006/relationships/image" Target="../media/image13.wmf"/><Relationship Id="rId14" Type="http://schemas.openxmlformats.org/officeDocument/2006/relationships/image" Target="../media/image14.wmf"/><Relationship Id="rId15" Type="http://schemas.openxmlformats.org/officeDocument/2006/relationships/image" Target="../media/image15.wmf"/><Relationship Id="rId16" Type="http://schemas.openxmlformats.org/officeDocument/2006/relationships/image" Target="../media/image16.wmf"/><Relationship Id="rId17" Type="http://schemas.openxmlformats.org/officeDocument/2006/relationships/image" Target="../media/image17.png"/><Relationship Id="rId18" Type="http://schemas.openxmlformats.org/officeDocument/2006/relationships/image" Target="../media/image18.png"/><Relationship Id="rId19" Type="http://schemas.openxmlformats.org/officeDocument/2006/relationships/image" Target="../media/image19.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50</xdr:col>
      <xdr:colOff>120240</xdr:colOff>
      <xdr:row>22</xdr:row>
      <xdr:rowOff>720</xdr:rowOff>
    </xdr:from>
    <xdr:to>
      <xdr:col>52</xdr:col>
      <xdr:colOff>388080</xdr:colOff>
      <xdr:row>25</xdr:row>
      <xdr:rowOff>65160</xdr:rowOff>
    </xdr:to>
    <xdr:pic>
      <xdr:nvPicPr>
        <xdr:cNvPr id="0" name="Picture 4" descr=""/>
        <xdr:cNvPicPr/>
      </xdr:nvPicPr>
      <xdr:blipFill>
        <a:blip r:embed="rId1"/>
        <a:stretch/>
      </xdr:blipFill>
      <xdr:spPr>
        <a:xfrm rot="16200000">
          <a:off x="39002400" y="3518280"/>
          <a:ext cx="552240" cy="1492200"/>
        </a:xfrm>
        <a:prstGeom prst="rect">
          <a:avLst/>
        </a:prstGeom>
        <a:ln w="0">
          <a:noFill/>
        </a:ln>
      </xdr:spPr>
    </xdr:pic>
    <xdr:clientData/>
  </xdr:twoCellAnchor>
  <xdr:twoCellAnchor editAs="oneCell">
    <xdr:from>
      <xdr:col>17</xdr:col>
      <xdr:colOff>462600</xdr:colOff>
      <xdr:row>19</xdr:row>
      <xdr:rowOff>96840</xdr:rowOff>
    </xdr:from>
    <xdr:to>
      <xdr:col>19</xdr:col>
      <xdr:colOff>148320</xdr:colOff>
      <xdr:row>26</xdr:row>
      <xdr:rowOff>109080</xdr:rowOff>
    </xdr:to>
    <xdr:pic>
      <xdr:nvPicPr>
        <xdr:cNvPr id="1" name="Picture 10" descr=""/>
        <xdr:cNvPicPr/>
      </xdr:nvPicPr>
      <xdr:blipFill>
        <a:blip r:embed="rId2"/>
        <a:stretch/>
      </xdr:blipFill>
      <xdr:spPr>
        <a:xfrm>
          <a:off x="18440640" y="3294720"/>
          <a:ext cx="910080" cy="1465200"/>
        </a:xfrm>
        <a:prstGeom prst="rect">
          <a:avLst/>
        </a:prstGeom>
        <a:ln w="0">
          <a:noFill/>
        </a:ln>
      </xdr:spPr>
    </xdr:pic>
    <xdr:clientData/>
  </xdr:twoCellAnchor>
  <xdr:twoCellAnchor editAs="oneCell">
    <xdr:from>
      <xdr:col>29</xdr:col>
      <xdr:colOff>396000</xdr:colOff>
      <xdr:row>21</xdr:row>
      <xdr:rowOff>15120</xdr:rowOff>
    </xdr:from>
    <xdr:to>
      <xdr:col>31</xdr:col>
      <xdr:colOff>136080</xdr:colOff>
      <xdr:row>25</xdr:row>
      <xdr:rowOff>21240</xdr:rowOff>
    </xdr:to>
    <xdr:pic>
      <xdr:nvPicPr>
        <xdr:cNvPr id="2" name="Picture 21" descr=""/>
        <xdr:cNvPicPr/>
      </xdr:nvPicPr>
      <xdr:blipFill>
        <a:blip r:embed="rId3"/>
        <a:stretch/>
      </xdr:blipFill>
      <xdr:spPr>
        <a:xfrm>
          <a:off x="25719840" y="3563640"/>
          <a:ext cx="964440" cy="933120"/>
        </a:xfrm>
        <a:prstGeom prst="rect">
          <a:avLst/>
        </a:prstGeom>
        <a:ln w="0">
          <a:noFill/>
        </a:ln>
      </xdr:spPr>
    </xdr:pic>
    <xdr:clientData/>
  </xdr:twoCellAnchor>
  <xdr:twoCellAnchor editAs="oneCell">
    <xdr:from>
      <xdr:col>10</xdr:col>
      <xdr:colOff>0</xdr:colOff>
      <xdr:row>3</xdr:row>
      <xdr:rowOff>1440</xdr:rowOff>
    </xdr:from>
    <xdr:to>
      <xdr:col>10</xdr:col>
      <xdr:colOff>303840</xdr:colOff>
      <xdr:row>4</xdr:row>
      <xdr:rowOff>113760</xdr:rowOff>
    </xdr:to>
    <xdr:sp>
      <xdr:nvSpPr>
        <xdr:cNvPr id="3" name="CustomShape 1"/>
        <xdr:cNvSpPr/>
      </xdr:nvSpPr>
      <xdr:spPr>
        <a:xfrm>
          <a:off x="10984320" y="489240"/>
          <a:ext cx="303840" cy="282240"/>
        </a:xfrm>
        <a:prstGeom prst="rect">
          <a:avLst/>
        </a:prstGeom>
        <a:noFill/>
        <a:ln w="0">
          <a:noFill/>
        </a:ln>
      </xdr:spPr>
      <xdr:style>
        <a:lnRef idx="0"/>
        <a:fillRef idx="0"/>
        <a:effectRef idx="0"/>
        <a:fontRef idx="minor"/>
      </xdr:style>
    </xdr:sp>
    <xdr:clientData/>
  </xdr:twoCellAnchor>
  <xdr:twoCellAnchor editAs="oneCell">
    <xdr:from>
      <xdr:col>26</xdr:col>
      <xdr:colOff>518040</xdr:colOff>
      <xdr:row>18</xdr:row>
      <xdr:rowOff>108720</xdr:rowOff>
    </xdr:from>
    <xdr:to>
      <xdr:col>27</xdr:col>
      <xdr:colOff>570240</xdr:colOff>
      <xdr:row>27</xdr:row>
      <xdr:rowOff>66600</xdr:rowOff>
    </xdr:to>
    <xdr:pic>
      <xdr:nvPicPr>
        <xdr:cNvPr id="4" name="Picture 13" descr=""/>
        <xdr:cNvPicPr/>
      </xdr:nvPicPr>
      <xdr:blipFill>
        <a:blip r:embed="rId4"/>
        <a:stretch/>
      </xdr:blipFill>
      <xdr:spPr>
        <a:xfrm>
          <a:off x="24005520" y="3143880"/>
          <a:ext cx="664200" cy="1735920"/>
        </a:xfrm>
        <a:prstGeom prst="rect">
          <a:avLst/>
        </a:prstGeom>
        <a:ln w="0">
          <a:noFill/>
        </a:ln>
      </xdr:spPr>
    </xdr:pic>
    <xdr:clientData/>
  </xdr:twoCellAnchor>
  <xdr:twoCellAnchor editAs="oneCell">
    <xdr:from>
      <xdr:col>41</xdr:col>
      <xdr:colOff>183960</xdr:colOff>
      <xdr:row>19</xdr:row>
      <xdr:rowOff>1080</xdr:rowOff>
    </xdr:from>
    <xdr:to>
      <xdr:col>43</xdr:col>
      <xdr:colOff>448560</xdr:colOff>
      <xdr:row>27</xdr:row>
      <xdr:rowOff>141840</xdr:rowOff>
    </xdr:to>
    <xdr:pic>
      <xdr:nvPicPr>
        <xdr:cNvPr id="5" name="Picture 2" descr=""/>
        <xdr:cNvPicPr/>
      </xdr:nvPicPr>
      <xdr:blipFill>
        <a:blip r:embed="rId5"/>
        <a:stretch/>
      </xdr:blipFill>
      <xdr:spPr>
        <a:xfrm rot="16200000">
          <a:off x="32836680" y="3215880"/>
          <a:ext cx="1756080" cy="1722240"/>
        </a:xfrm>
        <a:prstGeom prst="rect">
          <a:avLst/>
        </a:prstGeom>
        <a:ln w="0">
          <a:noFill/>
        </a:ln>
      </xdr:spPr>
    </xdr:pic>
    <xdr:clientData/>
  </xdr:twoCellAnchor>
  <xdr:twoCellAnchor editAs="oneCell">
    <xdr:from>
      <xdr:col>20</xdr:col>
      <xdr:colOff>353880</xdr:colOff>
      <xdr:row>19</xdr:row>
      <xdr:rowOff>42120</xdr:rowOff>
    </xdr:from>
    <xdr:to>
      <xdr:col>21</xdr:col>
      <xdr:colOff>611640</xdr:colOff>
      <xdr:row>26</xdr:row>
      <xdr:rowOff>162360</xdr:rowOff>
    </xdr:to>
    <xdr:pic>
      <xdr:nvPicPr>
        <xdr:cNvPr id="6" name="Picture 12" descr=""/>
        <xdr:cNvPicPr/>
      </xdr:nvPicPr>
      <xdr:blipFill>
        <a:blip r:embed="rId6"/>
        <a:stretch/>
      </xdr:blipFill>
      <xdr:spPr>
        <a:xfrm>
          <a:off x="20168280" y="3240000"/>
          <a:ext cx="870120" cy="1573200"/>
        </a:xfrm>
        <a:prstGeom prst="rect">
          <a:avLst/>
        </a:prstGeom>
        <a:ln w="0">
          <a:noFill/>
        </a:ln>
      </xdr:spPr>
    </xdr:pic>
    <xdr:clientData/>
  </xdr:twoCellAnchor>
  <xdr:twoCellAnchor editAs="oneCell">
    <xdr:from>
      <xdr:col>23</xdr:col>
      <xdr:colOff>409320</xdr:colOff>
      <xdr:row>19</xdr:row>
      <xdr:rowOff>28800</xdr:rowOff>
    </xdr:from>
    <xdr:to>
      <xdr:col>25</xdr:col>
      <xdr:colOff>113400</xdr:colOff>
      <xdr:row>25</xdr:row>
      <xdr:rowOff>174960</xdr:rowOff>
    </xdr:to>
    <xdr:pic>
      <xdr:nvPicPr>
        <xdr:cNvPr id="7" name="Picture 11" descr=""/>
        <xdr:cNvPicPr/>
      </xdr:nvPicPr>
      <xdr:blipFill>
        <a:blip r:embed="rId7"/>
        <a:stretch/>
      </xdr:blipFill>
      <xdr:spPr>
        <a:xfrm>
          <a:off x="22060440" y="3226680"/>
          <a:ext cx="928080" cy="1423800"/>
        </a:xfrm>
        <a:prstGeom prst="rect">
          <a:avLst/>
        </a:prstGeom>
        <a:ln w="0">
          <a:noFill/>
        </a:ln>
      </xdr:spPr>
    </xdr:pic>
    <xdr:clientData/>
  </xdr:twoCellAnchor>
  <xdr:twoCellAnchor editAs="oneCell">
    <xdr:from>
      <xdr:col>35</xdr:col>
      <xdr:colOff>134280</xdr:colOff>
      <xdr:row>20</xdr:row>
      <xdr:rowOff>1440</xdr:rowOff>
    </xdr:from>
    <xdr:to>
      <xdr:col>37</xdr:col>
      <xdr:colOff>180360</xdr:colOff>
      <xdr:row>26</xdr:row>
      <xdr:rowOff>1800</xdr:rowOff>
    </xdr:to>
    <xdr:pic>
      <xdr:nvPicPr>
        <xdr:cNvPr id="8" name="Picture 5" descr=""/>
        <xdr:cNvPicPr/>
      </xdr:nvPicPr>
      <xdr:blipFill>
        <a:blip r:embed="rId8"/>
        <a:stretch/>
      </xdr:blipFill>
      <xdr:spPr>
        <a:xfrm rot="16200000">
          <a:off x="29126880" y="3378240"/>
          <a:ext cx="1278000" cy="1270440"/>
        </a:xfrm>
        <a:prstGeom prst="rect">
          <a:avLst/>
        </a:prstGeom>
        <a:ln w="0">
          <a:noFill/>
        </a:ln>
      </xdr:spPr>
    </xdr:pic>
    <xdr:clientData/>
  </xdr:twoCellAnchor>
  <xdr:twoCellAnchor editAs="oneCell">
    <xdr:from>
      <xdr:col>38</xdr:col>
      <xdr:colOff>81360</xdr:colOff>
      <xdr:row>20</xdr:row>
      <xdr:rowOff>1080</xdr:rowOff>
    </xdr:from>
    <xdr:to>
      <xdr:col>40</xdr:col>
      <xdr:colOff>66600</xdr:colOff>
      <xdr:row>26</xdr:row>
      <xdr:rowOff>137160</xdr:rowOff>
    </xdr:to>
    <xdr:pic>
      <xdr:nvPicPr>
        <xdr:cNvPr id="9" name="Picture 7" descr=""/>
        <xdr:cNvPicPr/>
      </xdr:nvPicPr>
      <xdr:blipFill>
        <a:blip r:embed="rId9"/>
        <a:stretch/>
      </xdr:blipFill>
      <xdr:spPr>
        <a:xfrm rot="16200000">
          <a:off x="30812040" y="3476160"/>
          <a:ext cx="1413720" cy="1209600"/>
        </a:xfrm>
        <a:prstGeom prst="rect">
          <a:avLst/>
        </a:prstGeom>
        <a:ln w="0">
          <a:noFill/>
        </a:ln>
      </xdr:spPr>
    </xdr:pic>
    <xdr:clientData/>
  </xdr:twoCellAnchor>
  <xdr:twoCellAnchor editAs="oneCell">
    <xdr:from>
      <xdr:col>32</xdr:col>
      <xdr:colOff>165960</xdr:colOff>
      <xdr:row>21</xdr:row>
      <xdr:rowOff>1080</xdr:rowOff>
    </xdr:from>
    <xdr:to>
      <xdr:col>34</xdr:col>
      <xdr:colOff>107640</xdr:colOff>
      <xdr:row>26</xdr:row>
      <xdr:rowOff>85680</xdr:rowOff>
    </xdr:to>
    <xdr:pic>
      <xdr:nvPicPr>
        <xdr:cNvPr id="10" name="Picture 6" descr=""/>
        <xdr:cNvPicPr/>
      </xdr:nvPicPr>
      <xdr:blipFill>
        <a:blip r:embed="rId10"/>
        <a:stretch/>
      </xdr:blipFill>
      <xdr:spPr>
        <a:xfrm rot="16200000">
          <a:off x="27315720" y="3560040"/>
          <a:ext cx="1186920" cy="1166040"/>
        </a:xfrm>
        <a:prstGeom prst="rect">
          <a:avLst/>
        </a:prstGeom>
        <a:ln w="0">
          <a:noFill/>
        </a:ln>
      </xdr:spPr>
    </xdr:pic>
    <xdr:clientData/>
  </xdr:twoCellAnchor>
  <xdr:twoCellAnchor editAs="oneCell">
    <xdr:from>
      <xdr:col>44</xdr:col>
      <xdr:colOff>467640</xdr:colOff>
      <xdr:row>21</xdr:row>
      <xdr:rowOff>1080</xdr:rowOff>
    </xdr:from>
    <xdr:to>
      <xdr:col>46</xdr:col>
      <xdr:colOff>372600</xdr:colOff>
      <xdr:row>29</xdr:row>
      <xdr:rowOff>68760</xdr:rowOff>
    </xdr:to>
    <xdr:pic>
      <xdr:nvPicPr>
        <xdr:cNvPr id="11" name="Picture 3" descr=""/>
        <xdr:cNvPicPr/>
      </xdr:nvPicPr>
      <xdr:blipFill>
        <a:blip r:embed="rId11"/>
        <a:stretch/>
      </xdr:blipFill>
      <xdr:spPr>
        <a:xfrm rot="16200000">
          <a:off x="34930440" y="3826440"/>
          <a:ext cx="1683000" cy="1129320"/>
        </a:xfrm>
        <a:prstGeom prst="rect">
          <a:avLst/>
        </a:prstGeom>
        <a:ln w="0">
          <a:noFill/>
        </a:ln>
      </xdr:spPr>
    </xdr:pic>
    <xdr:clientData/>
  </xdr:twoCellAnchor>
  <xdr:twoCellAnchor editAs="oneCell">
    <xdr:from>
      <xdr:col>47</xdr:col>
      <xdr:colOff>462600</xdr:colOff>
      <xdr:row>21</xdr:row>
      <xdr:rowOff>1440</xdr:rowOff>
    </xdr:from>
    <xdr:to>
      <xdr:col>49</xdr:col>
      <xdr:colOff>310680</xdr:colOff>
      <xdr:row>29</xdr:row>
      <xdr:rowOff>8280</xdr:rowOff>
    </xdr:to>
    <xdr:pic>
      <xdr:nvPicPr>
        <xdr:cNvPr id="12" name="Picture 1" descr=""/>
        <xdr:cNvPicPr/>
      </xdr:nvPicPr>
      <xdr:blipFill>
        <a:blip r:embed="rId12"/>
        <a:stretch/>
      </xdr:blipFill>
      <xdr:spPr>
        <a:xfrm rot="16200000">
          <a:off x="36763560" y="3824640"/>
          <a:ext cx="1622160" cy="1072440"/>
        </a:xfrm>
        <a:prstGeom prst="rect">
          <a:avLst/>
        </a:prstGeom>
        <a:ln w="0">
          <a:noFill/>
        </a:ln>
      </xdr:spPr>
    </xdr:pic>
    <xdr:clientData/>
  </xdr:twoCellAnchor>
  <xdr:twoCellAnchor editAs="oneCell">
    <xdr:from>
      <xdr:col>53</xdr:col>
      <xdr:colOff>286200</xdr:colOff>
      <xdr:row>20</xdr:row>
      <xdr:rowOff>151200</xdr:rowOff>
    </xdr:from>
    <xdr:to>
      <xdr:col>55</xdr:col>
      <xdr:colOff>449280</xdr:colOff>
      <xdr:row>26</xdr:row>
      <xdr:rowOff>65520</xdr:rowOff>
    </xdr:to>
    <xdr:pic>
      <xdr:nvPicPr>
        <xdr:cNvPr id="13" name="Picture 16" descr=""/>
        <xdr:cNvPicPr/>
      </xdr:nvPicPr>
      <xdr:blipFill>
        <a:blip r:embed="rId13"/>
        <a:stretch/>
      </xdr:blipFill>
      <xdr:spPr>
        <a:xfrm>
          <a:off x="40534920" y="3524400"/>
          <a:ext cx="1387440" cy="1191960"/>
        </a:xfrm>
        <a:prstGeom prst="rect">
          <a:avLst/>
        </a:prstGeom>
        <a:ln w="0">
          <a:noFill/>
        </a:ln>
      </xdr:spPr>
    </xdr:pic>
    <xdr:clientData/>
  </xdr:twoCellAnchor>
  <xdr:twoCellAnchor editAs="oneCell">
    <xdr:from>
      <xdr:col>56</xdr:col>
      <xdr:colOff>218160</xdr:colOff>
      <xdr:row>20</xdr:row>
      <xdr:rowOff>164880</xdr:rowOff>
    </xdr:from>
    <xdr:to>
      <xdr:col>58</xdr:col>
      <xdr:colOff>325800</xdr:colOff>
      <xdr:row>26</xdr:row>
      <xdr:rowOff>14400</xdr:rowOff>
    </xdr:to>
    <xdr:pic>
      <xdr:nvPicPr>
        <xdr:cNvPr id="14" name="Picture 15" descr=""/>
        <xdr:cNvPicPr/>
      </xdr:nvPicPr>
      <xdr:blipFill>
        <a:blip r:embed="rId14"/>
        <a:stretch/>
      </xdr:blipFill>
      <xdr:spPr>
        <a:xfrm>
          <a:off x="42303600" y="3538080"/>
          <a:ext cx="1331640" cy="1127160"/>
        </a:xfrm>
        <a:prstGeom prst="rect">
          <a:avLst/>
        </a:prstGeom>
        <a:ln w="0">
          <a:noFill/>
        </a:ln>
      </xdr:spPr>
    </xdr:pic>
    <xdr:clientData/>
  </xdr:twoCellAnchor>
  <xdr:twoCellAnchor editAs="oneCell">
    <xdr:from>
      <xdr:col>59</xdr:col>
      <xdr:colOff>326880</xdr:colOff>
      <xdr:row>21</xdr:row>
      <xdr:rowOff>42120</xdr:rowOff>
    </xdr:from>
    <xdr:to>
      <xdr:col>62</xdr:col>
      <xdr:colOff>68040</xdr:colOff>
      <xdr:row>26</xdr:row>
      <xdr:rowOff>132120</xdr:rowOff>
    </xdr:to>
    <xdr:pic>
      <xdr:nvPicPr>
        <xdr:cNvPr id="15" name="Picture 17" descr=""/>
        <xdr:cNvPicPr/>
      </xdr:nvPicPr>
      <xdr:blipFill>
        <a:blip r:embed="rId15"/>
        <a:stretch/>
      </xdr:blipFill>
      <xdr:spPr>
        <a:xfrm>
          <a:off x="44248680" y="3590640"/>
          <a:ext cx="1577520" cy="1192320"/>
        </a:xfrm>
        <a:prstGeom prst="rect">
          <a:avLst/>
        </a:prstGeom>
        <a:ln w="0">
          <a:noFill/>
        </a:ln>
      </xdr:spPr>
    </xdr:pic>
    <xdr:clientData/>
  </xdr:twoCellAnchor>
  <xdr:twoCellAnchor editAs="oneCell">
    <xdr:from>
      <xdr:col>63</xdr:col>
      <xdr:colOff>395640</xdr:colOff>
      <xdr:row>21</xdr:row>
      <xdr:rowOff>15120</xdr:rowOff>
    </xdr:from>
    <xdr:to>
      <xdr:col>66</xdr:col>
      <xdr:colOff>121320</xdr:colOff>
      <xdr:row>25</xdr:row>
      <xdr:rowOff>136800</xdr:rowOff>
    </xdr:to>
    <xdr:pic>
      <xdr:nvPicPr>
        <xdr:cNvPr id="16" name="Picture 18" descr=""/>
        <xdr:cNvPicPr/>
      </xdr:nvPicPr>
      <xdr:blipFill>
        <a:blip r:embed="rId16"/>
        <a:stretch/>
      </xdr:blipFill>
      <xdr:spPr>
        <a:xfrm>
          <a:off x="46765800" y="3563640"/>
          <a:ext cx="1562040" cy="1048680"/>
        </a:xfrm>
        <a:prstGeom prst="rect">
          <a:avLst/>
        </a:prstGeom>
        <a:ln w="0">
          <a:noFill/>
        </a:ln>
      </xdr:spPr>
    </xdr:pic>
    <xdr:clientData/>
  </xdr:twoCellAnchor>
  <xdr:twoCellAnchor editAs="oneCell">
    <xdr:from>
      <xdr:col>67</xdr:col>
      <xdr:colOff>246240</xdr:colOff>
      <xdr:row>21</xdr:row>
      <xdr:rowOff>151200</xdr:rowOff>
    </xdr:from>
    <xdr:to>
      <xdr:col>70</xdr:col>
      <xdr:colOff>39960</xdr:colOff>
      <xdr:row>25</xdr:row>
      <xdr:rowOff>95400</xdr:rowOff>
    </xdr:to>
    <xdr:pic>
      <xdr:nvPicPr>
        <xdr:cNvPr id="17" name="Picture 19" descr=""/>
        <xdr:cNvPicPr/>
      </xdr:nvPicPr>
      <xdr:blipFill>
        <a:blip r:embed="rId17"/>
        <a:stretch/>
      </xdr:blipFill>
      <xdr:spPr>
        <a:xfrm>
          <a:off x="49065120" y="3699720"/>
          <a:ext cx="1630080" cy="871200"/>
        </a:xfrm>
        <a:prstGeom prst="rect">
          <a:avLst/>
        </a:prstGeom>
        <a:ln w="0">
          <a:noFill/>
        </a:ln>
      </xdr:spPr>
    </xdr:pic>
    <xdr:clientData/>
  </xdr:twoCellAnchor>
  <xdr:twoCellAnchor editAs="oneCell">
    <xdr:from>
      <xdr:col>72</xdr:col>
      <xdr:colOff>272520</xdr:colOff>
      <xdr:row>22</xdr:row>
      <xdr:rowOff>108720</xdr:rowOff>
    </xdr:from>
    <xdr:to>
      <xdr:col>74</xdr:col>
      <xdr:colOff>342720</xdr:colOff>
      <xdr:row>26</xdr:row>
      <xdr:rowOff>26640</xdr:rowOff>
    </xdr:to>
    <xdr:pic>
      <xdr:nvPicPr>
        <xdr:cNvPr id="18" name="Picture 20" descr=""/>
        <xdr:cNvPicPr/>
      </xdr:nvPicPr>
      <xdr:blipFill>
        <a:blip r:embed="rId18"/>
        <a:stretch/>
      </xdr:blipFill>
      <xdr:spPr>
        <a:xfrm>
          <a:off x="52152120" y="4096440"/>
          <a:ext cx="1294560" cy="581040"/>
        </a:xfrm>
        <a:prstGeom prst="rect">
          <a:avLst/>
        </a:prstGeom>
        <a:ln w="0">
          <a:noFill/>
        </a:ln>
      </xdr:spPr>
    </xdr:pic>
    <xdr:clientData/>
  </xdr:twoCellAnchor>
  <xdr:twoCellAnchor editAs="oneCell">
    <xdr:from>
      <xdr:col>77</xdr:col>
      <xdr:colOff>354240</xdr:colOff>
      <xdr:row>22</xdr:row>
      <xdr:rowOff>0</xdr:rowOff>
    </xdr:from>
    <xdr:to>
      <xdr:col>80</xdr:col>
      <xdr:colOff>81360</xdr:colOff>
      <xdr:row>26</xdr:row>
      <xdr:rowOff>95040</xdr:rowOff>
    </xdr:to>
    <xdr:pic>
      <xdr:nvPicPr>
        <xdr:cNvPr id="19" name="Picture 14" descr=""/>
        <xdr:cNvPicPr/>
      </xdr:nvPicPr>
      <xdr:blipFill>
        <a:blip r:embed="rId19"/>
        <a:stretch/>
      </xdr:blipFill>
      <xdr:spPr>
        <a:xfrm>
          <a:off x="55294560" y="3987720"/>
          <a:ext cx="1563480" cy="75816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R53"/>
  <sheetViews>
    <sheetView showFormulas="false" showGridLines="true" showRowColHeaders="true" showZeros="true" rightToLeft="false" tabSelected="true" showOutlineSymbols="true" defaultGridColor="true" view="normal" topLeftCell="A1" colorId="64" zoomScale="65" zoomScaleNormal="65" zoomScalePageLayoutView="100" workbookViewId="0">
      <selection pane="topLeft" activeCell="C10" activeCellId="0" sqref="C10"/>
    </sheetView>
  </sheetViews>
  <sheetFormatPr defaultColWidth="8.6875" defaultRowHeight="12.8" zeroHeight="false" outlineLevelRow="0" outlineLevelCol="0"/>
  <cols>
    <col collapsed="false" customWidth="true" hidden="false" outlineLevel="0" max="2" min="2" style="0" width="18.42"/>
    <col collapsed="false" customWidth="true" hidden="false" outlineLevel="0" max="3" min="3" style="0" width="13.57"/>
    <col collapsed="false" customWidth="true" hidden="false" outlineLevel="0" max="4" min="4" style="0" width="15.71"/>
    <col collapsed="false" customWidth="true" hidden="false" outlineLevel="0" max="5" min="5" style="0" width="18.85"/>
    <col collapsed="false" customWidth="true" hidden="false" outlineLevel="0" max="6" min="6" style="0" width="14.69"/>
    <col collapsed="false" customWidth="true" hidden="false" outlineLevel="0" max="7" min="7" style="0" width="13.02"/>
    <col collapsed="false" customWidth="true" hidden="false" outlineLevel="0" max="8" min="8" style="0" width="20.3"/>
    <col collapsed="false" customWidth="true" hidden="false" outlineLevel="0" max="9" min="9" style="0" width="13.43"/>
    <col collapsed="false" customWidth="true" hidden="false" outlineLevel="0" max="10" min="10" style="0" width="19"/>
    <col collapsed="false" customWidth="true" hidden="false" outlineLevel="0" max="11" min="11" style="0" width="14.28"/>
    <col collapsed="false" customWidth="true" hidden="false" outlineLevel="0" max="12" min="12" style="0" width="18.12"/>
    <col collapsed="false" customWidth="true" hidden="false" outlineLevel="0" max="13" min="13" style="0" width="15.57"/>
    <col collapsed="false" customWidth="true" hidden="false" outlineLevel="0" max="14" min="14" style="0" width="12.14"/>
    <col collapsed="false" customWidth="true" hidden="false" outlineLevel="0" max="16" min="15" style="0" width="14.86"/>
    <col collapsed="false" customWidth="true" hidden="false" outlineLevel="0" max="17" min="17" style="0" width="9.29"/>
    <col collapsed="false" customWidth="true" hidden="false" outlineLevel="0" max="43" min="43" style="0" width="11.99"/>
    <col collapsed="false" customWidth="true" hidden="false" outlineLevel="0" max="82" min="82" style="0" width="25.86"/>
    <col collapsed="false" customWidth="true" hidden="false" outlineLevel="0" max="85" min="85" style="0" width="10.12"/>
    <col collapsed="false" customWidth="true" hidden="false" outlineLevel="0" max="96" min="96" style="0" width="13.57"/>
    <col collapsed="false" customWidth="true" hidden="false" outlineLevel="0" max="97" min="97" style="0" width="14.86"/>
    <col collapsed="false" customWidth="true" hidden="false" outlineLevel="0" max="98" min="98" style="0" width="14.57"/>
  </cols>
  <sheetData>
    <row r="1" s="2" customFormat="true" ht="12.8" hidden="false" customHeight="false" outlineLevel="0" collapsed="false">
      <c r="A1" s="1" t="s">
        <v>0</v>
      </c>
    </row>
    <row r="3" customFormat="false" ht="12.8" hidden="false" customHeight="false" outlineLevel="0" collapsed="false">
      <c r="A3" s="0" t="s">
        <v>1</v>
      </c>
    </row>
    <row r="4" customFormat="false" ht="13.4" hidden="false" customHeight="true" outlineLevel="0" collapsed="false">
      <c r="A4" s="0" t="s">
        <v>2</v>
      </c>
      <c r="J4" s="3" t="s">
        <v>3</v>
      </c>
      <c r="K4" s="4" t="s">
        <v>4</v>
      </c>
      <c r="L4" s="5" t="s">
        <v>5</v>
      </c>
    </row>
    <row r="5" customFormat="false" ht="12.8" hidden="false" customHeight="false" outlineLevel="0" collapsed="false">
      <c r="A5" s="0" t="s">
        <v>6</v>
      </c>
      <c r="J5" s="3"/>
      <c r="K5" s="4"/>
      <c r="L5" s="6" t="s">
        <v>7</v>
      </c>
    </row>
    <row r="6" customFormat="false" ht="12.8" hidden="false" customHeight="false" outlineLevel="0" collapsed="false">
      <c r="A6" s="0" t="s">
        <v>8</v>
      </c>
      <c r="J6" s="7" t="s">
        <v>9</v>
      </c>
      <c r="K6" s="7" t="s">
        <v>10</v>
      </c>
      <c r="L6" s="7" t="n">
        <v>1.893</v>
      </c>
    </row>
    <row r="7" customFormat="false" ht="12.8" hidden="false" customHeight="false" outlineLevel="0" collapsed="false">
      <c r="J7" s="7" t="s">
        <v>11</v>
      </c>
      <c r="K7" s="7" t="s">
        <v>12</v>
      </c>
      <c r="L7" s="7" t="n">
        <v>1.895</v>
      </c>
      <c r="AG7" s="0" t="s">
        <v>13</v>
      </c>
      <c r="AH7" s="0" t="s">
        <v>13</v>
      </c>
    </row>
    <row r="8" customFormat="false" ht="13.8" hidden="false" customHeight="false" outlineLevel="0" collapsed="false">
      <c r="B8" s="8" t="s">
        <v>14</v>
      </c>
      <c r="C8" s="9" t="s">
        <v>15</v>
      </c>
      <c r="J8" s="7" t="s">
        <v>16</v>
      </c>
      <c r="K8" s="7" t="s">
        <v>10</v>
      </c>
      <c r="L8" s="7" t="n">
        <v>1.893</v>
      </c>
      <c r="AG8" s="0" t="s">
        <v>17</v>
      </c>
      <c r="AH8" s="0" t="s">
        <v>18</v>
      </c>
    </row>
    <row r="9" customFormat="false" ht="12.8" hidden="false" customHeight="false" outlineLevel="0" collapsed="false">
      <c r="J9" s="7" t="s">
        <v>19</v>
      </c>
      <c r="K9" s="7" t="s">
        <v>20</v>
      </c>
      <c r="L9" s="7" t="n">
        <v>2.049</v>
      </c>
      <c r="AH9" s="0" t="s">
        <v>17</v>
      </c>
    </row>
    <row r="10" customFormat="false" ht="13.8" hidden="false" customHeight="true" outlineLevel="0" collapsed="false">
      <c r="B10" s="10" t="s">
        <v>21</v>
      </c>
      <c r="C10" s="11" t="n">
        <v>2</v>
      </c>
      <c r="D10" s="12" t="s">
        <v>22</v>
      </c>
      <c r="F10" s="13" t="s">
        <v>23</v>
      </c>
      <c r="G10" s="13"/>
      <c r="H10" s="13"/>
      <c r="J10" s="7" t="s">
        <v>24</v>
      </c>
      <c r="K10" s="7" t="s">
        <v>25</v>
      </c>
      <c r="L10" s="7" t="n">
        <v>1.899</v>
      </c>
      <c r="AH10" s="0" t="s">
        <v>26</v>
      </c>
    </row>
    <row r="11" customFormat="false" ht="13.8" hidden="false" customHeight="false" outlineLevel="0" collapsed="false">
      <c r="B11" s="14" t="s">
        <v>27</v>
      </c>
      <c r="C11" s="15" t="n">
        <v>29</v>
      </c>
      <c r="D11" s="16" t="s">
        <v>28</v>
      </c>
      <c r="F11" s="13"/>
      <c r="G11" s="13"/>
      <c r="H11" s="13"/>
      <c r="J11" s="7" t="s">
        <v>29</v>
      </c>
      <c r="K11" s="7" t="n">
        <v>1.307</v>
      </c>
      <c r="L11" s="7" t="n">
        <v>1.837</v>
      </c>
    </row>
    <row r="12" customFormat="false" ht="13.8" hidden="false" customHeight="false" outlineLevel="0" collapsed="false">
      <c r="B12" s="14" t="s">
        <v>30</v>
      </c>
      <c r="C12" s="15" t="n">
        <v>25</v>
      </c>
      <c r="D12" s="16" t="s">
        <v>31</v>
      </c>
      <c r="F12" s="13"/>
      <c r="G12" s="13"/>
      <c r="H12" s="13"/>
      <c r="J12" s="7" t="s">
        <v>32</v>
      </c>
      <c r="K12" s="7" t="n">
        <v>1.131</v>
      </c>
      <c r="L12" s="7" t="n">
        <v>1.729</v>
      </c>
    </row>
    <row r="13" customFormat="false" ht="13.8" hidden="false" customHeight="false" outlineLevel="0" collapsed="false">
      <c r="B13" s="14" t="s">
        <v>33</v>
      </c>
      <c r="C13" s="15" t="n">
        <v>1.4</v>
      </c>
      <c r="D13" s="16"/>
      <c r="F13" s="13"/>
      <c r="G13" s="13"/>
      <c r="H13" s="13"/>
      <c r="J13" s="7" t="s">
        <v>34</v>
      </c>
      <c r="K13" s="7" t="n">
        <v>1.096</v>
      </c>
      <c r="L13" s="7" t="n">
        <v>1.708</v>
      </c>
    </row>
    <row r="14" customFormat="false" ht="13.8" hidden="false" customHeight="false" outlineLevel="0" collapsed="false">
      <c r="B14" s="17" t="s">
        <v>35</v>
      </c>
      <c r="C14" s="18" t="n">
        <f aca="false">(C10+1)*100000*(C11/1000)/(8.314*(273.15+C12))</f>
        <v>3.50973574473426</v>
      </c>
      <c r="D14" s="19" t="s">
        <v>36</v>
      </c>
      <c r="F14" s="13"/>
      <c r="G14" s="13"/>
      <c r="H14" s="13"/>
      <c r="J14" s="7" t="s">
        <v>37</v>
      </c>
      <c r="K14" s="7" t="s">
        <v>38</v>
      </c>
      <c r="L14" s="7" t="n">
        <v>1.838</v>
      </c>
    </row>
    <row r="15" customFormat="false" ht="12.8" hidden="false" customHeight="false" outlineLevel="0" collapsed="false">
      <c r="F15" s="13"/>
      <c r="G15" s="13"/>
      <c r="H15" s="13"/>
      <c r="J15" s="7" t="s">
        <v>39</v>
      </c>
      <c r="K15" s="7" t="n">
        <v>1.355</v>
      </c>
      <c r="L15" s="7" t="n">
        <v>1.866</v>
      </c>
    </row>
    <row r="16" customFormat="false" ht="12.8" hidden="false" customHeight="false" outlineLevel="0" collapsed="false">
      <c r="F16" s="13"/>
      <c r="G16" s="13"/>
      <c r="H16" s="13"/>
      <c r="J16" s="7" t="s">
        <v>40</v>
      </c>
      <c r="K16" s="7" t="s">
        <v>41</v>
      </c>
      <c r="L16" s="7" t="n">
        <v>1.826</v>
      </c>
    </row>
    <row r="17" customFormat="false" ht="13.8" hidden="false" customHeight="false" outlineLevel="0" collapsed="false">
      <c r="B17" s="10" t="s">
        <v>42</v>
      </c>
      <c r="C17" s="11" t="n">
        <v>500</v>
      </c>
      <c r="D17" s="12" t="s">
        <v>43</v>
      </c>
      <c r="J17" s="7" t="s">
        <v>44</v>
      </c>
      <c r="K17" s="7" t="n">
        <v>1.404</v>
      </c>
      <c r="L17" s="7" t="n">
        <v>1.895</v>
      </c>
    </row>
    <row r="18" customFormat="false" ht="13.8" hidden="false" customHeight="false" outlineLevel="0" collapsed="false">
      <c r="B18" s="17" t="s">
        <v>45</v>
      </c>
      <c r="C18" s="18" t="n">
        <f aca="false">CI41</f>
        <v>0.186550563949638</v>
      </c>
      <c r="D18" s="19" t="s">
        <v>46</v>
      </c>
      <c r="F18" s="20" t="s">
        <v>47</v>
      </c>
      <c r="G18" s="21" t="str">
        <f aca="false">IF(CQ41&gt;0,"not ok","ok")</f>
        <v>ok</v>
      </c>
      <c r="H18" s="22"/>
      <c r="J18" s="7" t="s">
        <v>48</v>
      </c>
      <c r="K18" s="7" t="n">
        <v>1.3</v>
      </c>
      <c r="L18" s="7" t="n">
        <v>1.83</v>
      </c>
    </row>
    <row r="19" customFormat="false" ht="12.8" hidden="false" customHeight="true" outlineLevel="0" collapsed="false">
      <c r="F19" s="23" t="s">
        <v>49</v>
      </c>
      <c r="G19" s="23"/>
      <c r="H19" s="23"/>
      <c r="R19" s="10"/>
      <c r="S19" s="24"/>
      <c r="T19" s="12"/>
      <c r="U19" s="10"/>
      <c r="V19" s="24"/>
      <c r="W19" s="12"/>
      <c r="X19" s="10"/>
      <c r="Y19" s="24"/>
      <c r="Z19" s="12"/>
      <c r="AA19" s="10"/>
      <c r="AB19" s="24"/>
      <c r="AC19" s="12"/>
      <c r="AD19" s="10"/>
      <c r="AE19" s="24"/>
      <c r="AF19" s="12"/>
      <c r="AG19" s="10"/>
      <c r="AH19" s="24"/>
      <c r="AI19" s="12"/>
      <c r="AJ19" s="10"/>
      <c r="AK19" s="24"/>
      <c r="AL19" s="12"/>
      <c r="AM19" s="10"/>
      <c r="AN19" s="24"/>
      <c r="AO19" s="12"/>
      <c r="AP19" s="10"/>
      <c r="AQ19" s="24"/>
      <c r="AR19" s="12"/>
      <c r="AS19" s="10"/>
      <c r="AT19" s="24"/>
      <c r="AU19" s="12"/>
      <c r="AV19" s="10"/>
      <c r="AW19" s="24"/>
      <c r="AX19" s="12"/>
      <c r="AY19" s="10"/>
      <c r="AZ19" s="24"/>
      <c r="BA19" s="12"/>
      <c r="BB19" s="10"/>
      <c r="BC19" s="24"/>
      <c r="BD19" s="12"/>
      <c r="BE19" s="10"/>
      <c r="BF19" s="24"/>
      <c r="BG19" s="12"/>
      <c r="BH19" s="10"/>
      <c r="BI19" s="24"/>
      <c r="BJ19" s="24"/>
      <c r="BK19" s="12"/>
      <c r="BL19" s="10"/>
      <c r="BM19" s="24"/>
      <c r="BN19" s="24"/>
      <c r="BO19" s="12"/>
      <c r="BP19" s="10"/>
      <c r="BQ19" s="24"/>
      <c r="BR19" s="24"/>
      <c r="BS19" s="12"/>
      <c r="BT19" s="10"/>
      <c r="BU19" s="24"/>
      <c r="BV19" s="24"/>
      <c r="BW19" s="24"/>
      <c r="BX19" s="24"/>
      <c r="BY19" s="12"/>
      <c r="BZ19" s="10"/>
      <c r="CA19" s="24"/>
      <c r="CB19" s="24"/>
      <c r="CC19" s="12"/>
      <c r="CD19" s="25" t="s">
        <v>50</v>
      </c>
    </row>
    <row r="20" customFormat="false" ht="13.8" hidden="false" customHeight="false" outlineLevel="0" collapsed="false">
      <c r="B20" s="26" t="s">
        <v>51</v>
      </c>
      <c r="C20" s="26"/>
      <c r="D20" s="26"/>
      <c r="F20" s="23"/>
      <c r="G20" s="23"/>
      <c r="H20" s="23"/>
      <c r="R20" s="14"/>
      <c r="S20" s="27"/>
      <c r="T20" s="16"/>
      <c r="U20" s="14"/>
      <c r="V20" s="27"/>
      <c r="W20" s="16"/>
      <c r="X20" s="14"/>
      <c r="Y20" s="27"/>
      <c r="Z20" s="16"/>
      <c r="AA20" s="14"/>
      <c r="AB20" s="27"/>
      <c r="AC20" s="16"/>
      <c r="AD20" s="14"/>
      <c r="AE20" s="27"/>
      <c r="AF20" s="16"/>
      <c r="AG20" s="14"/>
      <c r="AH20" s="27"/>
      <c r="AI20" s="16"/>
      <c r="AJ20" s="14"/>
      <c r="AK20" s="27"/>
      <c r="AL20" s="16"/>
      <c r="AM20" s="14"/>
      <c r="AN20" s="27"/>
      <c r="AO20" s="16"/>
      <c r="AP20" s="14"/>
      <c r="AQ20" s="27"/>
      <c r="AR20" s="16"/>
      <c r="AS20" s="14"/>
      <c r="AT20" s="27"/>
      <c r="AU20" s="16"/>
      <c r="AV20" s="14"/>
      <c r="AW20" s="27"/>
      <c r="AX20" s="16"/>
      <c r="AY20" s="14"/>
      <c r="AZ20" s="27"/>
      <c r="BA20" s="16"/>
      <c r="BB20" s="14"/>
      <c r="BC20" s="27"/>
      <c r="BD20" s="16"/>
      <c r="BE20" s="14"/>
      <c r="BF20" s="27"/>
      <c r="BG20" s="16"/>
      <c r="BH20" s="14"/>
      <c r="BI20" s="27"/>
      <c r="BJ20" s="27"/>
      <c r="BK20" s="16"/>
      <c r="BL20" s="14"/>
      <c r="BM20" s="27"/>
      <c r="BN20" s="27"/>
      <c r="BO20" s="16"/>
      <c r="BP20" s="14"/>
      <c r="BQ20" s="27"/>
      <c r="BR20" s="27"/>
      <c r="BS20" s="16"/>
      <c r="BT20" s="14"/>
      <c r="BU20" s="27"/>
      <c r="BV20" s="27"/>
      <c r="BW20" s="27"/>
      <c r="BX20" s="27"/>
      <c r="BY20" s="16"/>
      <c r="BZ20" s="14"/>
      <c r="CA20" s="27"/>
      <c r="CB20" s="27"/>
      <c r="CC20" s="16"/>
      <c r="CD20" s="25"/>
    </row>
    <row r="21" customFormat="false" ht="13.8" hidden="false" customHeight="false" outlineLevel="0" collapsed="false">
      <c r="B21" s="10" t="s">
        <v>52</v>
      </c>
      <c r="C21" s="11" t="n">
        <v>1.5</v>
      </c>
      <c r="D21" s="12" t="s">
        <v>46</v>
      </c>
      <c r="F21" s="23"/>
      <c r="G21" s="23"/>
      <c r="H21" s="23"/>
      <c r="R21" s="14"/>
      <c r="S21" s="27"/>
      <c r="T21" s="16"/>
      <c r="U21" s="14"/>
      <c r="V21" s="27"/>
      <c r="W21" s="16"/>
      <c r="X21" s="14"/>
      <c r="Y21" s="27"/>
      <c r="Z21" s="16"/>
      <c r="AA21" s="14"/>
      <c r="AB21" s="27"/>
      <c r="AC21" s="16"/>
      <c r="AD21" s="14"/>
      <c r="AE21" s="27"/>
      <c r="AF21" s="16"/>
      <c r="AG21" s="14"/>
      <c r="AH21" s="27"/>
      <c r="AI21" s="16"/>
      <c r="AJ21" s="14"/>
      <c r="AK21" s="27"/>
      <c r="AL21" s="16"/>
      <c r="AM21" s="14"/>
      <c r="AN21" s="27"/>
      <c r="AO21" s="16"/>
      <c r="AP21" s="14"/>
      <c r="AQ21" s="27"/>
      <c r="AR21" s="16"/>
      <c r="AS21" s="14"/>
      <c r="AT21" s="27"/>
      <c r="AU21" s="16"/>
      <c r="AV21" s="14"/>
      <c r="AW21" s="27"/>
      <c r="AX21" s="16"/>
      <c r="AY21" s="14"/>
      <c r="AZ21" s="27"/>
      <c r="BA21" s="16"/>
      <c r="BB21" s="14"/>
      <c r="BC21" s="27"/>
      <c r="BD21" s="16"/>
      <c r="BE21" s="14"/>
      <c r="BF21" s="27"/>
      <c r="BG21" s="16"/>
      <c r="BH21" s="14"/>
      <c r="BI21" s="27"/>
      <c r="BJ21" s="27"/>
      <c r="BK21" s="16"/>
      <c r="BL21" s="14"/>
      <c r="BM21" s="27"/>
      <c r="BN21" s="27"/>
      <c r="BO21" s="16"/>
      <c r="BP21" s="14"/>
      <c r="BQ21" s="27"/>
      <c r="BR21" s="27"/>
      <c r="BS21" s="16"/>
      <c r="BT21" s="14"/>
      <c r="BU21" s="27"/>
      <c r="BV21" s="27"/>
      <c r="BW21" s="27"/>
      <c r="BX21" s="27"/>
      <c r="BY21" s="16"/>
      <c r="BZ21" s="14"/>
      <c r="CA21" s="27"/>
      <c r="CB21" s="27"/>
      <c r="CC21" s="16"/>
      <c r="CD21" s="25"/>
    </row>
    <row r="22" customFormat="false" ht="34.6" hidden="false" customHeight="false" outlineLevel="0" collapsed="false">
      <c r="B22" s="17" t="s">
        <v>53</v>
      </c>
      <c r="C22" s="18" t="n">
        <f aca="false">C21-C18</f>
        <v>1.31344943605036</v>
      </c>
      <c r="D22" s="19"/>
      <c r="E22" s="28" t="s">
        <v>54</v>
      </c>
      <c r="F22" s="23"/>
      <c r="G22" s="23"/>
      <c r="H22" s="23"/>
      <c r="R22" s="14"/>
      <c r="S22" s="27"/>
      <c r="T22" s="16"/>
      <c r="U22" s="14"/>
      <c r="V22" s="27"/>
      <c r="W22" s="16"/>
      <c r="X22" s="14"/>
      <c r="Y22" s="27"/>
      <c r="Z22" s="16"/>
      <c r="AA22" s="14"/>
      <c r="AB22" s="27"/>
      <c r="AC22" s="16"/>
      <c r="AD22" s="14"/>
      <c r="AE22" s="27"/>
      <c r="AF22" s="16"/>
      <c r="AG22" s="14"/>
      <c r="AH22" s="27"/>
      <c r="AI22" s="16"/>
      <c r="AJ22" s="14"/>
      <c r="AK22" s="27"/>
      <c r="AL22" s="16"/>
      <c r="AM22" s="14"/>
      <c r="AN22" s="27"/>
      <c r="AO22" s="16"/>
      <c r="AP22" s="14"/>
      <c r="AQ22" s="27"/>
      <c r="AR22" s="16"/>
      <c r="AS22" s="14"/>
      <c r="AT22" s="27"/>
      <c r="AU22" s="16"/>
      <c r="AV22" s="14"/>
      <c r="AW22" s="27"/>
      <c r="AX22" s="16"/>
      <c r="AY22" s="14"/>
      <c r="AZ22" s="27"/>
      <c r="BA22" s="16"/>
      <c r="BB22" s="14"/>
      <c r="BC22" s="27"/>
      <c r="BD22" s="16"/>
      <c r="BE22" s="14"/>
      <c r="BF22" s="27"/>
      <c r="BG22" s="16"/>
      <c r="BH22" s="14"/>
      <c r="BI22" s="27"/>
      <c r="BJ22" s="27"/>
      <c r="BK22" s="16"/>
      <c r="BL22" s="14"/>
      <c r="BM22" s="27"/>
      <c r="BN22" s="27"/>
      <c r="BO22" s="16"/>
      <c r="BP22" s="14"/>
      <c r="BQ22" s="27"/>
      <c r="BR22" s="27"/>
      <c r="BS22" s="16"/>
      <c r="BT22" s="14"/>
      <c r="BU22" s="27"/>
      <c r="BV22" s="27"/>
      <c r="BW22" s="27"/>
      <c r="BX22" s="27"/>
      <c r="BY22" s="16"/>
      <c r="BZ22" s="14"/>
      <c r="CA22" s="27"/>
      <c r="CB22" s="27"/>
      <c r="CC22" s="16"/>
      <c r="CD22" s="25"/>
    </row>
    <row r="23" customFormat="false" ht="12.8" hidden="false" customHeight="false" outlineLevel="0" collapsed="false">
      <c r="R23" s="14"/>
      <c r="S23" s="27"/>
      <c r="T23" s="16"/>
      <c r="U23" s="14"/>
      <c r="V23" s="27"/>
      <c r="W23" s="16"/>
      <c r="X23" s="14"/>
      <c r="Y23" s="27"/>
      <c r="Z23" s="16"/>
      <c r="AA23" s="14"/>
      <c r="AB23" s="27"/>
      <c r="AC23" s="16"/>
      <c r="AD23" s="14"/>
      <c r="AE23" s="27"/>
      <c r="AF23" s="16"/>
      <c r="AG23" s="14"/>
      <c r="AH23" s="27"/>
      <c r="AI23" s="16"/>
      <c r="AJ23" s="14"/>
      <c r="AK23" s="27"/>
      <c r="AL23" s="16"/>
      <c r="AM23" s="14"/>
      <c r="AN23" s="27"/>
      <c r="AO23" s="16"/>
      <c r="AP23" s="14"/>
      <c r="AQ23" s="27"/>
      <c r="AR23" s="16"/>
      <c r="AS23" s="14"/>
      <c r="AT23" s="27"/>
      <c r="AU23" s="16"/>
      <c r="AV23" s="14"/>
      <c r="AW23" s="27"/>
      <c r="AX23" s="16"/>
      <c r="AY23" s="14"/>
      <c r="AZ23" s="27"/>
      <c r="BA23" s="16"/>
      <c r="BB23" s="14"/>
      <c r="BC23" s="27"/>
      <c r="BD23" s="16"/>
      <c r="BE23" s="14"/>
      <c r="BF23" s="27"/>
      <c r="BG23" s="16"/>
      <c r="BH23" s="14"/>
      <c r="BI23" s="27"/>
      <c r="BJ23" s="27"/>
      <c r="BK23" s="16"/>
      <c r="BL23" s="14"/>
      <c r="BM23" s="27"/>
      <c r="BN23" s="27"/>
      <c r="BO23" s="16"/>
      <c r="BP23" s="14"/>
      <c r="BQ23" s="27"/>
      <c r="BR23" s="27"/>
      <c r="BS23" s="16"/>
      <c r="BT23" s="14"/>
      <c r="BU23" s="27"/>
      <c r="BV23" s="27"/>
      <c r="BW23" s="27"/>
      <c r="BX23" s="27"/>
      <c r="BY23" s="16"/>
      <c r="BZ23" s="14"/>
      <c r="CA23" s="27"/>
      <c r="CB23" s="27"/>
      <c r="CC23" s="16"/>
      <c r="CD23" s="25"/>
    </row>
    <row r="24" customFormat="false" ht="12.8" hidden="false" customHeight="false" outlineLevel="0" collapsed="false">
      <c r="R24" s="14"/>
      <c r="S24" s="27"/>
      <c r="T24" s="16"/>
      <c r="U24" s="14"/>
      <c r="V24" s="27"/>
      <c r="W24" s="16"/>
      <c r="X24" s="14"/>
      <c r="Y24" s="27"/>
      <c r="Z24" s="16"/>
      <c r="AA24" s="14"/>
      <c r="AB24" s="27"/>
      <c r="AC24" s="16"/>
      <c r="AD24" s="14"/>
      <c r="AE24" s="27"/>
      <c r="AF24" s="16"/>
      <c r="AG24" s="14"/>
      <c r="AH24" s="27"/>
      <c r="AI24" s="16"/>
      <c r="AJ24" s="14"/>
      <c r="AK24" s="27"/>
      <c r="AL24" s="16"/>
      <c r="AM24" s="14"/>
      <c r="AN24" s="27"/>
      <c r="AO24" s="16"/>
      <c r="AP24" s="14"/>
      <c r="AQ24" s="27"/>
      <c r="AR24" s="16"/>
      <c r="AS24" s="14"/>
      <c r="AT24" s="27"/>
      <c r="AU24" s="16"/>
      <c r="AV24" s="14"/>
      <c r="AW24" s="27"/>
      <c r="AX24" s="16"/>
      <c r="AY24" s="14"/>
      <c r="AZ24" s="27"/>
      <c r="BA24" s="16"/>
      <c r="BB24" s="14"/>
      <c r="BC24" s="27"/>
      <c r="BD24" s="16"/>
      <c r="BE24" s="14"/>
      <c r="BF24" s="27"/>
      <c r="BG24" s="16"/>
      <c r="BH24" s="14"/>
      <c r="BI24" s="27"/>
      <c r="BJ24" s="27"/>
      <c r="BK24" s="16"/>
      <c r="BL24" s="14"/>
      <c r="BM24" s="27"/>
      <c r="BN24" s="27"/>
      <c r="BO24" s="16"/>
      <c r="BP24" s="14"/>
      <c r="BQ24" s="27"/>
      <c r="BR24" s="27"/>
      <c r="BS24" s="16"/>
      <c r="BT24" s="14"/>
      <c r="BU24" s="27"/>
      <c r="BV24" s="27"/>
      <c r="BW24" s="27"/>
      <c r="BX24" s="27"/>
      <c r="BY24" s="16"/>
      <c r="BZ24" s="14"/>
      <c r="CA24" s="27"/>
      <c r="CB24" s="27"/>
      <c r="CC24" s="16"/>
      <c r="CD24" s="25"/>
    </row>
    <row r="25" customFormat="false" ht="12.8" hidden="false" customHeight="false" outlineLevel="0" collapsed="false">
      <c r="R25" s="14"/>
      <c r="S25" s="27"/>
      <c r="T25" s="16"/>
      <c r="U25" s="14"/>
      <c r="V25" s="27"/>
      <c r="W25" s="16"/>
      <c r="X25" s="14"/>
      <c r="Y25" s="27"/>
      <c r="Z25" s="16"/>
      <c r="AA25" s="14"/>
      <c r="AB25" s="27"/>
      <c r="AC25" s="16"/>
      <c r="AD25" s="14"/>
      <c r="AE25" s="27"/>
      <c r="AF25" s="16"/>
      <c r="AG25" s="14"/>
      <c r="AH25" s="27"/>
      <c r="AI25" s="16"/>
      <c r="AJ25" s="14"/>
      <c r="AK25" s="27"/>
      <c r="AL25" s="16"/>
      <c r="AM25" s="14"/>
      <c r="AN25" s="27"/>
      <c r="AO25" s="16"/>
      <c r="AP25" s="14"/>
      <c r="AQ25" s="27"/>
      <c r="AR25" s="16"/>
      <c r="AS25" s="14"/>
      <c r="AT25" s="27"/>
      <c r="AU25" s="16"/>
      <c r="AV25" s="14"/>
      <c r="AW25" s="27"/>
      <c r="AX25" s="16"/>
      <c r="AY25" s="14"/>
      <c r="AZ25" s="27"/>
      <c r="BA25" s="16"/>
      <c r="BB25" s="14"/>
      <c r="BC25" s="27"/>
      <c r="BD25" s="16"/>
      <c r="BE25" s="14"/>
      <c r="BF25" s="27"/>
      <c r="BG25" s="16"/>
      <c r="BH25" s="14"/>
      <c r="BI25" s="27"/>
      <c r="BJ25" s="27"/>
      <c r="BK25" s="16"/>
      <c r="BL25" s="14"/>
      <c r="BM25" s="27"/>
      <c r="BN25" s="27"/>
      <c r="BO25" s="16"/>
      <c r="BP25" s="14"/>
      <c r="BQ25" s="27"/>
      <c r="BR25" s="27"/>
      <c r="BS25" s="16"/>
      <c r="BT25" s="14"/>
      <c r="BU25" s="27"/>
      <c r="BV25" s="27"/>
      <c r="BW25" s="27"/>
      <c r="BX25" s="27"/>
      <c r="BY25" s="16"/>
      <c r="BZ25" s="14"/>
      <c r="CA25" s="27"/>
      <c r="CB25" s="27"/>
      <c r="CC25" s="16"/>
      <c r="CD25" s="25"/>
    </row>
    <row r="26" customFormat="false" ht="13.8" hidden="false" customHeight="false" outlineLevel="0" collapsed="false">
      <c r="M26" s="29"/>
      <c r="R26" s="14"/>
      <c r="S26" s="27"/>
      <c r="T26" s="16"/>
      <c r="U26" s="14"/>
      <c r="V26" s="27"/>
      <c r="W26" s="16"/>
      <c r="X26" s="14"/>
      <c r="Y26" s="27"/>
      <c r="Z26" s="16"/>
      <c r="AA26" s="14"/>
      <c r="AB26" s="27"/>
      <c r="AC26" s="16"/>
      <c r="AD26" s="14"/>
      <c r="AE26" s="27"/>
      <c r="AF26" s="16"/>
      <c r="AG26" s="14"/>
      <c r="AH26" s="27"/>
      <c r="AI26" s="16"/>
      <c r="AJ26" s="14"/>
      <c r="AK26" s="27"/>
      <c r="AL26" s="16"/>
      <c r="AM26" s="14"/>
      <c r="AN26" s="27"/>
      <c r="AO26" s="16"/>
      <c r="AP26" s="14"/>
      <c r="AQ26" s="27"/>
      <c r="AR26" s="16"/>
      <c r="AS26" s="14"/>
      <c r="AT26" s="27"/>
      <c r="AU26" s="16"/>
      <c r="AV26" s="14"/>
      <c r="AW26" s="27"/>
      <c r="AX26" s="16"/>
      <c r="AY26" s="14"/>
      <c r="AZ26" s="27"/>
      <c r="BA26" s="16"/>
      <c r="BB26" s="14"/>
      <c r="BC26" s="27"/>
      <c r="BD26" s="16"/>
      <c r="BE26" s="14"/>
      <c r="BF26" s="27"/>
      <c r="BG26" s="16"/>
      <c r="BH26" s="14"/>
      <c r="BI26" s="27"/>
      <c r="BJ26" s="27"/>
      <c r="BK26" s="16"/>
      <c r="BL26" s="14"/>
      <c r="BM26" s="27"/>
      <c r="BN26" s="27"/>
      <c r="BO26" s="16"/>
      <c r="BP26" s="14"/>
      <c r="BQ26" s="27"/>
      <c r="BR26" s="27"/>
      <c r="BS26" s="16"/>
      <c r="BT26" s="14"/>
      <c r="BU26" s="27"/>
      <c r="BV26" s="27"/>
      <c r="BW26" s="27"/>
      <c r="BX26" s="27"/>
      <c r="BY26" s="16"/>
      <c r="BZ26" s="14"/>
      <c r="CA26" s="27"/>
      <c r="CB26" s="27"/>
      <c r="CC26" s="16"/>
      <c r="CD26" s="25"/>
      <c r="CG26" s="29"/>
    </row>
    <row r="27" customFormat="false" ht="12.8" hidden="false" customHeight="false" outlineLevel="0" collapsed="false">
      <c r="R27" s="14"/>
      <c r="S27" s="27"/>
      <c r="T27" s="16"/>
      <c r="U27" s="14"/>
      <c r="V27" s="27"/>
      <c r="W27" s="16"/>
      <c r="X27" s="14"/>
      <c r="Y27" s="27"/>
      <c r="Z27" s="16"/>
      <c r="AA27" s="14"/>
      <c r="AB27" s="27"/>
      <c r="AC27" s="16"/>
      <c r="AD27" s="14"/>
      <c r="AE27" s="27"/>
      <c r="AF27" s="16"/>
      <c r="AG27" s="14"/>
      <c r="AH27" s="27"/>
      <c r="AI27" s="16"/>
      <c r="AJ27" s="14"/>
      <c r="AK27" s="27"/>
      <c r="AL27" s="16"/>
      <c r="AM27" s="14"/>
      <c r="AN27" s="27"/>
      <c r="AO27" s="16"/>
      <c r="AP27" s="14"/>
      <c r="AQ27" s="27"/>
      <c r="AR27" s="16"/>
      <c r="AS27" s="14"/>
      <c r="AT27" s="27"/>
      <c r="AU27" s="16"/>
      <c r="AV27" s="14"/>
      <c r="AW27" s="27"/>
      <c r="AX27" s="16"/>
      <c r="AY27" s="14"/>
      <c r="AZ27" s="27"/>
      <c r="BA27" s="16"/>
      <c r="BB27" s="14"/>
      <c r="BC27" s="27"/>
      <c r="BD27" s="16"/>
      <c r="BE27" s="14"/>
      <c r="BF27" s="27"/>
      <c r="BG27" s="16"/>
      <c r="BH27" s="14"/>
      <c r="BI27" s="27"/>
      <c r="BJ27" s="27"/>
      <c r="BK27" s="16"/>
      <c r="BL27" s="14"/>
      <c r="BM27" s="27"/>
      <c r="BN27" s="27"/>
      <c r="BO27" s="16"/>
      <c r="BP27" s="14" t="s">
        <v>55</v>
      </c>
      <c r="BQ27" s="27"/>
      <c r="BR27" s="27"/>
      <c r="BS27" s="16"/>
      <c r="BT27" s="14"/>
      <c r="BU27" s="27"/>
      <c r="BV27" s="27"/>
      <c r="BW27" s="27"/>
      <c r="BX27" s="27"/>
      <c r="BY27" s="16"/>
      <c r="BZ27" s="14"/>
      <c r="CA27" s="27"/>
      <c r="CB27" s="27"/>
      <c r="CC27" s="16"/>
      <c r="CD27" s="25"/>
    </row>
    <row r="28" customFormat="false" ht="13.8" hidden="false" customHeight="false" outlineLevel="0" collapsed="false">
      <c r="B28" s="30" t="s">
        <v>56</v>
      </c>
      <c r="C28" s="30" t="s">
        <v>57</v>
      </c>
      <c r="D28" s="30" t="s">
        <v>58</v>
      </c>
      <c r="E28" s="30" t="s">
        <v>59</v>
      </c>
      <c r="F28" s="30" t="s">
        <v>60</v>
      </c>
      <c r="G28" s="30" t="s">
        <v>61</v>
      </c>
      <c r="H28" s="30" t="s">
        <v>62</v>
      </c>
      <c r="I28" s="30" t="s">
        <v>63</v>
      </c>
      <c r="J28" s="30" t="s">
        <v>64</v>
      </c>
      <c r="K28" s="30"/>
      <c r="L28" s="30" t="s">
        <v>65</v>
      </c>
      <c r="M28" s="30" t="s">
        <v>66</v>
      </c>
      <c r="N28" s="30" t="s">
        <v>67</v>
      </c>
      <c r="O28" s="31" t="s">
        <v>68</v>
      </c>
      <c r="P28" s="31"/>
      <c r="Q28" s="31"/>
      <c r="R28" s="32" t="s">
        <v>69</v>
      </c>
      <c r="S28" s="27"/>
      <c r="T28" s="16"/>
      <c r="U28" s="32" t="s">
        <v>69</v>
      </c>
      <c r="V28" s="27"/>
      <c r="W28" s="16"/>
      <c r="X28" s="32" t="s">
        <v>69</v>
      </c>
      <c r="Y28" s="27"/>
      <c r="Z28" s="16"/>
      <c r="AA28" s="32" t="s">
        <v>69</v>
      </c>
      <c r="AB28" s="27"/>
      <c r="AC28" s="16"/>
      <c r="AD28" s="14"/>
      <c r="AE28" s="27"/>
      <c r="AF28" s="16"/>
      <c r="AG28" s="14"/>
      <c r="AH28" s="27"/>
      <c r="AI28" s="16"/>
      <c r="AJ28" s="14"/>
      <c r="AK28" s="27"/>
      <c r="AL28" s="16"/>
      <c r="AM28" s="14"/>
      <c r="AN28" s="27"/>
      <c r="AO28" s="16"/>
      <c r="AP28" s="14"/>
      <c r="AQ28" s="27"/>
      <c r="AR28" s="16"/>
      <c r="AS28" s="14"/>
      <c r="AT28" s="27"/>
      <c r="AU28" s="16"/>
      <c r="AV28" s="14"/>
      <c r="AW28" s="27"/>
      <c r="AX28" s="16"/>
      <c r="AY28" s="14"/>
      <c r="AZ28" s="27"/>
      <c r="BA28" s="16"/>
      <c r="BB28" s="14"/>
      <c r="BC28" s="27"/>
      <c r="BD28" s="16"/>
      <c r="BE28" s="14"/>
      <c r="BF28" s="27"/>
      <c r="BG28" s="16"/>
      <c r="BH28" s="14"/>
      <c r="BI28" s="27"/>
      <c r="BJ28" s="27"/>
      <c r="BK28" s="16"/>
      <c r="BL28" s="14"/>
      <c r="BM28" s="27"/>
      <c r="BN28" s="27"/>
      <c r="BO28" s="16"/>
      <c r="BP28" s="14"/>
      <c r="BQ28" s="27"/>
      <c r="BR28" s="27"/>
      <c r="BS28" s="16"/>
      <c r="BT28" s="14"/>
      <c r="BU28" s="27"/>
      <c r="BV28" s="27"/>
      <c r="BW28" s="27"/>
      <c r="BX28" s="27"/>
      <c r="BY28" s="16"/>
      <c r="BZ28" s="14"/>
      <c r="CA28" s="27"/>
      <c r="CB28" s="27"/>
      <c r="CC28" s="16"/>
      <c r="CD28" s="25"/>
    </row>
    <row r="29" customFormat="false" ht="13.8" hidden="false" customHeight="false" outlineLevel="0" collapsed="false">
      <c r="B29" s="33"/>
      <c r="C29" s="33"/>
      <c r="D29" s="33" t="s">
        <v>70</v>
      </c>
      <c r="E29" s="33" t="s">
        <v>71</v>
      </c>
      <c r="F29" s="33" t="s">
        <v>72</v>
      </c>
      <c r="G29" s="33" t="s">
        <v>73</v>
      </c>
      <c r="H29" s="33" t="s">
        <v>74</v>
      </c>
      <c r="I29" s="33" t="s">
        <v>75</v>
      </c>
      <c r="J29" s="33" t="s">
        <v>76</v>
      </c>
      <c r="K29" s="33" t="s">
        <v>77</v>
      </c>
      <c r="L29" s="33" t="s">
        <v>78</v>
      </c>
      <c r="M29" s="33" t="s">
        <v>79</v>
      </c>
      <c r="N29" s="33" t="s">
        <v>80</v>
      </c>
      <c r="O29" s="30" t="s">
        <v>81</v>
      </c>
      <c r="P29" s="30" t="s">
        <v>82</v>
      </c>
      <c r="Q29" s="34" t="s">
        <v>83</v>
      </c>
      <c r="R29" s="14" t="s">
        <v>84</v>
      </c>
      <c r="S29" s="27"/>
      <c r="T29" s="16" t="s">
        <v>85</v>
      </c>
      <c r="U29" s="14" t="s">
        <v>84</v>
      </c>
      <c r="V29" s="27"/>
      <c r="W29" s="16" t="s">
        <v>86</v>
      </c>
      <c r="X29" s="35" t="s">
        <v>87</v>
      </c>
      <c r="Y29" s="27"/>
      <c r="Z29" s="16" t="s">
        <v>85</v>
      </c>
      <c r="AA29" s="35" t="s">
        <v>87</v>
      </c>
      <c r="AB29" s="27"/>
      <c r="AC29" s="16" t="s">
        <v>86</v>
      </c>
      <c r="AD29" s="35" t="s">
        <v>88</v>
      </c>
      <c r="AE29" s="27"/>
      <c r="AF29" s="16"/>
      <c r="AG29" s="14" t="s">
        <v>89</v>
      </c>
      <c r="AH29" s="27"/>
      <c r="AI29" s="16" t="s">
        <v>13</v>
      </c>
      <c r="AJ29" s="14" t="s">
        <v>90</v>
      </c>
      <c r="AK29" s="27"/>
      <c r="AL29" s="16" t="s">
        <v>13</v>
      </c>
      <c r="AM29" s="14" t="s">
        <v>91</v>
      </c>
      <c r="AN29" s="27"/>
      <c r="AO29" s="16" t="s">
        <v>13</v>
      </c>
      <c r="AP29" s="14" t="s">
        <v>92</v>
      </c>
      <c r="AQ29" s="27"/>
      <c r="AR29" s="16" t="n">
        <v>0</v>
      </c>
      <c r="AS29" s="14" t="s">
        <v>93</v>
      </c>
      <c r="AT29" s="27"/>
      <c r="AU29" s="16" t="n">
        <v>0</v>
      </c>
      <c r="AV29" s="14" t="s">
        <v>94</v>
      </c>
      <c r="AW29" s="27"/>
      <c r="AX29" s="16" t="s">
        <v>13</v>
      </c>
      <c r="AY29" s="14" t="s">
        <v>95</v>
      </c>
      <c r="AZ29" s="27"/>
      <c r="BA29" s="16" t="s">
        <v>13</v>
      </c>
      <c r="BB29" s="14" t="s">
        <v>96</v>
      </c>
      <c r="BC29" s="27"/>
      <c r="BD29" s="16"/>
      <c r="BE29" s="14" t="s">
        <v>97</v>
      </c>
      <c r="BF29" s="27"/>
      <c r="BG29" s="16"/>
      <c r="BH29" s="14" t="s">
        <v>98</v>
      </c>
      <c r="BI29" s="27"/>
      <c r="BJ29" s="27"/>
      <c r="BK29" s="16"/>
      <c r="BL29" s="14" t="s">
        <v>99</v>
      </c>
      <c r="BM29" s="27"/>
      <c r="BN29" s="27"/>
      <c r="BO29" s="16"/>
      <c r="BP29" s="14" t="s">
        <v>100</v>
      </c>
      <c r="BQ29" s="27"/>
      <c r="BR29" s="27"/>
      <c r="BS29" s="16"/>
      <c r="BT29" s="14" t="s">
        <v>101</v>
      </c>
      <c r="BU29" s="27"/>
      <c r="BV29" s="27"/>
      <c r="BW29" s="27"/>
      <c r="BX29" s="27"/>
      <c r="BY29" s="16"/>
      <c r="BZ29" s="14" t="s">
        <v>102</v>
      </c>
      <c r="CA29" s="27"/>
      <c r="CB29" s="27"/>
      <c r="CC29" s="16"/>
      <c r="CD29" s="25"/>
    </row>
    <row r="30" customFormat="false" ht="12.8" hidden="false" customHeight="false" outlineLevel="0" collapsed="false">
      <c r="B30" s="36"/>
      <c r="C30" s="36"/>
      <c r="D30" s="36" t="s">
        <v>36</v>
      </c>
      <c r="E30" s="36" t="s">
        <v>103</v>
      </c>
      <c r="F30" s="36" t="s">
        <v>104</v>
      </c>
      <c r="G30" s="36" t="s">
        <v>104</v>
      </c>
      <c r="H30" s="36" t="s">
        <v>104</v>
      </c>
      <c r="I30" s="36" t="s">
        <v>105</v>
      </c>
      <c r="J30" s="36"/>
      <c r="K30" s="36" t="s">
        <v>43</v>
      </c>
      <c r="L30" s="36" t="s">
        <v>106</v>
      </c>
      <c r="M30" s="36" t="s">
        <v>107</v>
      </c>
      <c r="N30" s="36"/>
      <c r="O30" s="36"/>
      <c r="P30" s="36"/>
      <c r="Q30" s="37"/>
      <c r="R30" s="14" t="s">
        <v>108</v>
      </c>
      <c r="S30" s="27" t="s">
        <v>109</v>
      </c>
      <c r="T30" s="16" t="s">
        <v>110</v>
      </c>
      <c r="U30" s="14" t="s">
        <v>108</v>
      </c>
      <c r="V30" s="27" t="s">
        <v>109</v>
      </c>
      <c r="W30" s="16" t="s">
        <v>110</v>
      </c>
      <c r="X30" s="14" t="s">
        <v>108</v>
      </c>
      <c r="Y30" s="27" t="s">
        <v>109</v>
      </c>
      <c r="Z30" s="16" t="s">
        <v>110</v>
      </c>
      <c r="AA30" s="14" t="s">
        <v>108</v>
      </c>
      <c r="AB30" s="27" t="s">
        <v>109</v>
      </c>
      <c r="AC30" s="16" t="s">
        <v>110</v>
      </c>
      <c r="AD30" s="14" t="s">
        <v>108</v>
      </c>
      <c r="AE30" s="27" t="s">
        <v>109</v>
      </c>
      <c r="AF30" s="16" t="s">
        <v>110</v>
      </c>
      <c r="AG30" s="14" t="s">
        <v>108</v>
      </c>
      <c r="AH30" s="27" t="s">
        <v>109</v>
      </c>
      <c r="AI30" s="16" t="s">
        <v>110</v>
      </c>
      <c r="AJ30" s="14" t="s">
        <v>108</v>
      </c>
      <c r="AK30" s="27" t="s">
        <v>109</v>
      </c>
      <c r="AL30" s="16" t="s">
        <v>110</v>
      </c>
      <c r="AM30" s="14" t="s">
        <v>108</v>
      </c>
      <c r="AN30" s="27" t="s">
        <v>109</v>
      </c>
      <c r="AO30" s="16" t="s">
        <v>110</v>
      </c>
      <c r="AP30" s="14" t="s">
        <v>108</v>
      </c>
      <c r="AQ30" s="27" t="s">
        <v>109</v>
      </c>
      <c r="AR30" s="16" t="s">
        <v>110</v>
      </c>
      <c r="AS30" s="14" t="s">
        <v>108</v>
      </c>
      <c r="AT30" s="27" t="s">
        <v>109</v>
      </c>
      <c r="AU30" s="16" t="s">
        <v>110</v>
      </c>
      <c r="AV30" s="14" t="s">
        <v>108</v>
      </c>
      <c r="AW30" s="27" t="s">
        <v>109</v>
      </c>
      <c r="AX30" s="16" t="s">
        <v>110</v>
      </c>
      <c r="AY30" s="14" t="s">
        <v>108</v>
      </c>
      <c r="AZ30" s="27" t="s">
        <v>109</v>
      </c>
      <c r="BA30" s="16" t="s">
        <v>110</v>
      </c>
      <c r="BB30" s="14" t="s">
        <v>108</v>
      </c>
      <c r="BC30" s="27" t="s">
        <v>109</v>
      </c>
      <c r="BD30" s="16" t="s">
        <v>110</v>
      </c>
      <c r="BE30" s="14" t="s">
        <v>108</v>
      </c>
      <c r="BF30" s="27" t="s">
        <v>109</v>
      </c>
      <c r="BG30" s="16" t="s">
        <v>110</v>
      </c>
      <c r="BH30" s="14" t="s">
        <v>108</v>
      </c>
      <c r="BI30" s="38" t="s">
        <v>72</v>
      </c>
      <c r="BJ30" s="27" t="s">
        <v>109</v>
      </c>
      <c r="BK30" s="16" t="s">
        <v>110</v>
      </c>
      <c r="BL30" s="14" t="s">
        <v>108</v>
      </c>
      <c r="BM30" s="38" t="s">
        <v>111</v>
      </c>
      <c r="BN30" s="27" t="s">
        <v>109</v>
      </c>
      <c r="BO30" s="16" t="s">
        <v>110</v>
      </c>
      <c r="BP30" s="14" t="s">
        <v>108</v>
      </c>
      <c r="BQ30" s="38" t="s">
        <v>112</v>
      </c>
      <c r="BR30" s="27" t="s">
        <v>109</v>
      </c>
      <c r="BS30" s="16" t="s">
        <v>110</v>
      </c>
      <c r="BT30" s="14" t="s">
        <v>108</v>
      </c>
      <c r="BU30" s="38" t="s">
        <v>112</v>
      </c>
      <c r="BV30" s="38" t="s">
        <v>111</v>
      </c>
      <c r="BW30" s="38" t="s">
        <v>113</v>
      </c>
      <c r="BX30" s="27" t="s">
        <v>109</v>
      </c>
      <c r="BY30" s="16" t="s">
        <v>110</v>
      </c>
      <c r="BZ30" s="14" t="s">
        <v>108</v>
      </c>
      <c r="CA30" s="38" t="s">
        <v>111</v>
      </c>
      <c r="CB30" s="27" t="s">
        <v>109</v>
      </c>
      <c r="CC30" s="16" t="s">
        <v>110</v>
      </c>
      <c r="CD30" s="39" t="s">
        <v>109</v>
      </c>
      <c r="CE30" s="10" t="s">
        <v>114</v>
      </c>
      <c r="CF30" s="40" t="s">
        <v>115</v>
      </c>
      <c r="CG30" s="40" t="s">
        <v>116</v>
      </c>
      <c r="CH30" s="40" t="s">
        <v>117</v>
      </c>
      <c r="CI30" s="12" t="s">
        <v>118</v>
      </c>
      <c r="CJ30" s="38" t="s">
        <v>119</v>
      </c>
      <c r="CK30" s="38" t="s">
        <v>120</v>
      </c>
      <c r="CL30" s="38" t="s">
        <v>121</v>
      </c>
      <c r="CM30" s="41" t="s">
        <v>122</v>
      </c>
      <c r="CN30" s="41"/>
      <c r="CO30" s="41"/>
    </row>
    <row r="31" customFormat="false" ht="13.8" hidden="false" customHeight="false" outlineLevel="0" collapsed="false">
      <c r="B31" s="42" t="s">
        <v>123</v>
      </c>
      <c r="C31" s="11" t="s">
        <v>3</v>
      </c>
      <c r="D31" s="11" t="n">
        <v>3.509</v>
      </c>
      <c r="E31" s="11" t="n">
        <v>0.00043</v>
      </c>
      <c r="F31" s="11" t="n">
        <v>0.1</v>
      </c>
      <c r="G31" s="11" t="n">
        <v>100</v>
      </c>
      <c r="H31" s="11" t="n">
        <v>0</v>
      </c>
      <c r="I31" s="11" t="n">
        <v>0.045</v>
      </c>
      <c r="J31" s="43" t="n">
        <f aca="false">(I31/1000)/F31</f>
        <v>0.00045</v>
      </c>
      <c r="K31" s="43" t="n">
        <f aca="false">$C$17</f>
        <v>500</v>
      </c>
      <c r="L31" s="43" t="n">
        <f aca="false">K31/D31</f>
        <v>142.490738102023</v>
      </c>
      <c r="M31" s="43" t="n">
        <f aca="false">3.54*L31/(F31*100)^2</f>
        <v>5.04417212881163</v>
      </c>
      <c r="N31" s="44" t="n">
        <f aca="false">F31*M31*D31/E31</f>
        <v>4116.27906976744</v>
      </c>
      <c r="O31" s="43" t="n">
        <f aca="false">(2.457*LN((((7/N31)^0.9+0.27*(I31/1000)/F31))^(-1)))^16</f>
        <v>2.20281827064436E+018</v>
      </c>
      <c r="P31" s="43" t="n">
        <f aca="false">(37530/N31)^16</f>
        <v>2280237365803170</v>
      </c>
      <c r="Q31" s="43" t="n">
        <f aca="false">IF(N31&lt;2000,64/N31,8*((8/N31)^12+1/(O31+P31)^1.5)^(1/12))</f>
        <v>0.0407532108745293</v>
      </c>
      <c r="R31" s="45" t="n">
        <v>0</v>
      </c>
      <c r="S31" s="24" t="n">
        <v>0.75</v>
      </c>
      <c r="T31" s="12" t="n">
        <f aca="false">R31*S31</f>
        <v>0</v>
      </c>
      <c r="U31" s="45" t="n">
        <v>0</v>
      </c>
      <c r="V31" s="24" t="n">
        <v>0.45</v>
      </c>
      <c r="W31" s="12" t="n">
        <f aca="false">U31*V31</f>
        <v>0</v>
      </c>
      <c r="X31" s="45" t="n">
        <v>0</v>
      </c>
      <c r="Y31" s="24" t="n">
        <v>0.35</v>
      </c>
      <c r="Z31" s="12" t="n">
        <f aca="false">X31*Y31</f>
        <v>0</v>
      </c>
      <c r="AA31" s="45" t="n">
        <v>0</v>
      </c>
      <c r="AB31" s="24" t="n">
        <v>0.2</v>
      </c>
      <c r="AC31" s="12" t="n">
        <f aca="false">AA31*AB31</f>
        <v>0</v>
      </c>
      <c r="AD31" s="45" t="n">
        <v>0</v>
      </c>
      <c r="AE31" s="24" t="n">
        <v>0.04</v>
      </c>
      <c r="AF31" s="12" t="n">
        <f aca="false">AD31*AE31</f>
        <v>0</v>
      </c>
      <c r="AG31" s="45" t="n">
        <v>0</v>
      </c>
      <c r="AH31" s="24" t="n">
        <f aca="false">IF($AI$29="Open",6,9.5)</f>
        <v>6</v>
      </c>
      <c r="AI31" s="12" t="n">
        <f aca="false">AG31*AH31</f>
        <v>0</v>
      </c>
      <c r="AJ31" s="45" t="n">
        <v>0</v>
      </c>
      <c r="AK31" s="24" t="n">
        <f aca="false">IF($AL$29="Open",9,IF($AL$29="3/4 Open",13,IF($AL$29="1/2 Open",36,112)))</f>
        <v>9</v>
      </c>
      <c r="AL31" s="12" t="n">
        <f aca="false">AJ31*AK31</f>
        <v>0</v>
      </c>
      <c r="AM31" s="45" t="n">
        <v>0</v>
      </c>
      <c r="AN31" s="24" t="n">
        <f aca="false">IF($AO$29="Open",0.17,IF($AO$29="3/4 Open",0.9,IF($AO$29="1/2 Open",4.5,24)))</f>
        <v>0.17</v>
      </c>
      <c r="AO31" s="12" t="n">
        <f aca="false">AM31*AN31</f>
        <v>0</v>
      </c>
      <c r="AP31" s="45" t="n">
        <v>0</v>
      </c>
      <c r="AQ31" s="24" t="n">
        <f aca="false">32000000*(90-$AR$29)^-4</f>
        <v>0.487730528882792</v>
      </c>
      <c r="AR31" s="12" t="n">
        <f aca="false">AP31*AQ31</f>
        <v>0</v>
      </c>
      <c r="AS31" s="45" t="n">
        <v>0</v>
      </c>
      <c r="AT31" s="24" t="n">
        <f aca="false">10.5*($AU$29/(67-$AU$29))^2</f>
        <v>0</v>
      </c>
      <c r="AU31" s="12" t="n">
        <f aca="false">AS31*AT31</f>
        <v>0</v>
      </c>
      <c r="AV31" s="45" t="n">
        <v>0</v>
      </c>
      <c r="AW31" s="24" t="n">
        <f aca="false">IF($AX$29="Open",2.3,IF($AX$29="3/4 Open",2.6,IF($AX$29="1/2 Open",4.3,21)))</f>
        <v>2.3</v>
      </c>
      <c r="AX31" s="12" t="n">
        <f aca="false">AV31*AW31</f>
        <v>0</v>
      </c>
      <c r="AY31" s="45" t="n">
        <v>0</v>
      </c>
      <c r="AZ31" s="24" t="n">
        <v>4</v>
      </c>
      <c r="BA31" s="12" t="n">
        <f aca="false">AY31*AZ31</f>
        <v>0</v>
      </c>
      <c r="BB31" s="45" t="n">
        <v>0</v>
      </c>
      <c r="BC31" s="24" t="n">
        <v>1</v>
      </c>
      <c r="BD31" s="12" t="n">
        <f aca="false">BB31*BC31</f>
        <v>0</v>
      </c>
      <c r="BE31" s="45" t="n">
        <v>0</v>
      </c>
      <c r="BF31" s="24" t="n">
        <v>0.5</v>
      </c>
      <c r="BG31" s="12" t="n">
        <f aca="false">BE31*BF31</f>
        <v>0</v>
      </c>
      <c r="BH31" s="45" t="n">
        <v>0</v>
      </c>
      <c r="BI31" s="46" t="n">
        <v>0.15</v>
      </c>
      <c r="BJ31" s="24" t="n">
        <f aca="false">(1-(F31^2/BI31^2))^2</f>
        <v>0.308641975308642</v>
      </c>
      <c r="BK31" s="12" t="n">
        <f aca="false">BH31*BJ31</f>
        <v>0</v>
      </c>
      <c r="BL31" s="45" t="n">
        <v>0</v>
      </c>
      <c r="BM31" s="46" t="n">
        <v>0.02</v>
      </c>
      <c r="BN31" s="24" t="n">
        <f aca="false">(1/(0.59+0.41*(BM31^2/F31^2)^3)-1)^2</f>
        <v>0.48280245460255</v>
      </c>
      <c r="BO31" s="12" t="n">
        <f aca="false">BL31*BN31</f>
        <v>0</v>
      </c>
      <c r="BP31" s="45" t="n">
        <v>0</v>
      </c>
      <c r="BQ31" s="46" t="n">
        <v>10</v>
      </c>
      <c r="BR31" s="24" t="n">
        <f aca="false">IF(BQ31=10,0.065,IF(BQ31=15,0.14,IF(BQ31=20,0.26,IF(BQ31=30,0.43,IF(BQ31=45,0.52,0.62)))))</f>
        <v>0.065</v>
      </c>
      <c r="BS31" s="12" t="n">
        <f aca="false">BP31*BR31</f>
        <v>0</v>
      </c>
      <c r="BT31" s="45" t="n">
        <v>0</v>
      </c>
      <c r="BU31" s="46" t="n">
        <v>45</v>
      </c>
      <c r="BV31" s="46" t="n">
        <v>0.05</v>
      </c>
      <c r="BW31" s="24" t="n">
        <f aca="false">0.59+0.41*(BV31^2/F31^2)^3</f>
        <v>0.59640625</v>
      </c>
      <c r="BX31" s="24" t="n">
        <f aca="false">IF(BU31&lt;90,(1/BW31-1)^2*SIN(BU31),(1/BW31-1)^2)</f>
        <v>0.389659092738285</v>
      </c>
      <c r="BY31" s="12" t="n">
        <f aca="false">BT31*BX31</f>
        <v>0</v>
      </c>
      <c r="BZ31" s="45" t="n">
        <v>0</v>
      </c>
      <c r="CA31" s="46" t="n">
        <v>0.01</v>
      </c>
      <c r="CB31" s="24" t="n">
        <f aca="false">2.8*(1-(CA31/F31)^2)*((F31/CA31)^4-1)</f>
        <v>27717.228</v>
      </c>
      <c r="CC31" s="12" t="n">
        <f aca="false">BZ31*CB31</f>
        <v>0</v>
      </c>
      <c r="CD31" s="46"/>
      <c r="CE31" s="10" t="n">
        <f aca="false">IF(G31=0,0,T31+W31+Z31+AC31+AF31+AI31+AL31+AO31+AR31+AU31+AX31+BA31+BD31+BG31+BK31+BO31+BS31+BY31+CC31+CD31)</f>
        <v>0</v>
      </c>
      <c r="CF31" s="24" t="n">
        <f aca="false">(CE31*D31*M31^2/2)/100000</f>
        <v>0</v>
      </c>
      <c r="CG31" s="24" t="n">
        <f aca="false">(Q31*G31/F31*D31*M31^2/2)/100000</f>
        <v>0.0181926096250802</v>
      </c>
      <c r="CH31" s="24" t="n">
        <f aca="false">(9.81*D31*H31)/100000</f>
        <v>0</v>
      </c>
      <c r="CI31" s="12" t="n">
        <f aca="false">CF31+CG31+CH31</f>
        <v>0.0181926096250802</v>
      </c>
      <c r="CJ31" s="0" t="n">
        <f aca="false">$C$10-CI31+1.01</f>
        <v>2.99180739037492</v>
      </c>
      <c r="CK31" s="47" t="n">
        <f aca="false">((C10+1)-CJ31)/(C10+1)*100</f>
        <v>0.27308698750268</v>
      </c>
      <c r="CL31" s="0" t="n">
        <f aca="false">(CJ31*100000*$C$11/1000)/(8.314*(273.15+$C$12))</f>
        <v>3.50015111311966</v>
      </c>
      <c r="CM31" s="0" t="n">
        <f aca="false">(C10+1)/CJ31</f>
        <v>1.00273834794694</v>
      </c>
      <c r="CN31" s="0" t="n">
        <f aca="false">(2/($C$13+1))^(-$C$13/($C$13-1))</f>
        <v>1.89292915873785</v>
      </c>
      <c r="CO31" s="0" t="str">
        <f aca="false">IF(CM31&gt;CN31,"choked flow","ok")</f>
        <v>ok</v>
      </c>
      <c r="CQ31" s="0" t="n">
        <f aca="false">IF(CK31&gt;10,1,0)</f>
        <v>0</v>
      </c>
      <c r="CR31" s="0" t="n">
        <f aca="false">IF(CO31="ok",0,1)</f>
        <v>0</v>
      </c>
    </row>
    <row r="32" customFormat="false" ht="13.8" hidden="false" customHeight="false" outlineLevel="0" collapsed="false">
      <c r="B32" s="48" t="s">
        <v>124</v>
      </c>
      <c r="C32" s="15" t="s">
        <v>3</v>
      </c>
      <c r="D32" s="15" t="n">
        <f aca="false">CL31</f>
        <v>3.50015111311966</v>
      </c>
      <c r="E32" s="15" t="n">
        <v>0.00043</v>
      </c>
      <c r="F32" s="15" t="n">
        <v>0.1</v>
      </c>
      <c r="G32" s="15" t="n">
        <v>100</v>
      </c>
      <c r="H32" s="15" t="n">
        <v>0</v>
      </c>
      <c r="I32" s="15" t="n">
        <v>0.045</v>
      </c>
      <c r="J32" s="49" t="n">
        <f aca="false">(I32/1000)/F32</f>
        <v>0.00045</v>
      </c>
      <c r="K32" s="49" t="n">
        <f aca="false">$C$17</f>
        <v>500</v>
      </c>
      <c r="L32" s="49" t="n">
        <f aca="false">K32/D32</f>
        <v>142.850975240996</v>
      </c>
      <c r="M32" s="49" t="n">
        <f aca="false">3.54*L32/(F32*100)^2</f>
        <v>5.05692452353125</v>
      </c>
      <c r="N32" s="50" t="n">
        <f aca="false">F32*M32*D32/E32</f>
        <v>4116.27906976744</v>
      </c>
      <c r="O32" s="49" t="n">
        <f aca="false">(2.457*LN((((7/N32)^0.9+0.27*(I32/1000)/F32))^(-1)))^16</f>
        <v>2.20281827064436E+018</v>
      </c>
      <c r="P32" s="49" t="n">
        <f aca="false">(37530/N32)^16</f>
        <v>2280237365803170</v>
      </c>
      <c r="Q32" s="49" t="n">
        <f aca="false">IF(N32&lt;2000,64/N32,8*((8/N32)^12+1/(O32+P32)^1.5)^(1/12))</f>
        <v>0.0407532108745293</v>
      </c>
      <c r="R32" s="51" t="n">
        <v>0</v>
      </c>
      <c r="S32" s="27" t="n">
        <v>0.75</v>
      </c>
      <c r="T32" s="16" t="n">
        <f aca="false">R32*S32</f>
        <v>0</v>
      </c>
      <c r="U32" s="51" t="n">
        <v>0</v>
      </c>
      <c r="V32" s="27" t="n">
        <v>0.45</v>
      </c>
      <c r="W32" s="16" t="n">
        <f aca="false">U32*V32</f>
        <v>0</v>
      </c>
      <c r="X32" s="51" t="n">
        <v>0</v>
      </c>
      <c r="Y32" s="27" t="n">
        <v>0.35</v>
      </c>
      <c r="Z32" s="16" t="n">
        <f aca="false">X32*Y32</f>
        <v>0</v>
      </c>
      <c r="AA32" s="51" t="n">
        <v>0</v>
      </c>
      <c r="AB32" s="27" t="n">
        <v>0.2</v>
      </c>
      <c r="AC32" s="16" t="n">
        <f aca="false">AA32*AB32</f>
        <v>0</v>
      </c>
      <c r="AD32" s="51" t="n">
        <v>0</v>
      </c>
      <c r="AE32" s="27" t="n">
        <v>0.04</v>
      </c>
      <c r="AF32" s="16" t="n">
        <f aca="false">AD32*AE32</f>
        <v>0</v>
      </c>
      <c r="AG32" s="51" t="n">
        <v>0</v>
      </c>
      <c r="AH32" s="27" t="n">
        <f aca="false">IF($AI$29="Open",6,9.5)</f>
        <v>6</v>
      </c>
      <c r="AI32" s="16" t="n">
        <f aca="false">AG32*AH32</f>
        <v>0</v>
      </c>
      <c r="AJ32" s="51" t="n">
        <v>0</v>
      </c>
      <c r="AK32" s="27" t="n">
        <f aca="false">IF($AL$29="Open",9,IF($AL$29="3/4 Open",13,IF($AL$29="1/2 Open",36,112)))</f>
        <v>9</v>
      </c>
      <c r="AL32" s="16" t="n">
        <f aca="false">AJ32*AK32</f>
        <v>0</v>
      </c>
      <c r="AM32" s="51" t="n">
        <v>0</v>
      </c>
      <c r="AN32" s="27" t="n">
        <f aca="false">IF($AO$29="Open",0.17,IF($AO$29="3/4 Open",0.9,IF($AO$29="1/2 Open",4.5,24)))</f>
        <v>0.17</v>
      </c>
      <c r="AO32" s="16" t="n">
        <f aca="false">AM32*AN32</f>
        <v>0</v>
      </c>
      <c r="AP32" s="51" t="n">
        <v>0</v>
      </c>
      <c r="AQ32" s="27" t="n">
        <f aca="false">32000000*(90-$AR$29)^-4</f>
        <v>0.487730528882792</v>
      </c>
      <c r="AR32" s="16" t="n">
        <f aca="false">AP32*AQ32</f>
        <v>0</v>
      </c>
      <c r="AS32" s="51" t="n">
        <v>0</v>
      </c>
      <c r="AT32" s="27" t="n">
        <f aca="false">10.5*($AU$29/(67-$AU$29))^2</f>
        <v>0</v>
      </c>
      <c r="AU32" s="16" t="n">
        <f aca="false">AS32*AT32</f>
        <v>0</v>
      </c>
      <c r="AV32" s="51" t="n">
        <v>0</v>
      </c>
      <c r="AW32" s="27" t="n">
        <f aca="false">IF($AX$29="Open",2.3,IF($AX$29="3/4 Open",2.6,IF($AX$29="1/2 Open",4.3,21)))</f>
        <v>2.3</v>
      </c>
      <c r="AX32" s="16" t="n">
        <f aca="false">AV32*AW32</f>
        <v>0</v>
      </c>
      <c r="AY32" s="51" t="n">
        <v>0</v>
      </c>
      <c r="AZ32" s="27" t="n">
        <v>4</v>
      </c>
      <c r="BA32" s="16" t="n">
        <f aca="false">AY32*AZ32</f>
        <v>0</v>
      </c>
      <c r="BB32" s="51" t="n">
        <v>0</v>
      </c>
      <c r="BC32" s="27" t="n">
        <v>1</v>
      </c>
      <c r="BD32" s="16" t="n">
        <f aca="false">BB32*BC32</f>
        <v>0</v>
      </c>
      <c r="BE32" s="51" t="n">
        <v>0</v>
      </c>
      <c r="BF32" s="27" t="n">
        <v>0.5</v>
      </c>
      <c r="BG32" s="16" t="n">
        <f aca="false">BE32*BF32</f>
        <v>0</v>
      </c>
      <c r="BH32" s="51" t="n">
        <v>0</v>
      </c>
      <c r="BI32" s="52" t="n">
        <v>0.1</v>
      </c>
      <c r="BJ32" s="27" t="n">
        <f aca="false">(1-(F32^2/BI32^2))^2</f>
        <v>0</v>
      </c>
      <c r="BK32" s="16" t="n">
        <f aca="false">BH32*BJ32</f>
        <v>0</v>
      </c>
      <c r="BL32" s="51" t="n">
        <v>0</v>
      </c>
      <c r="BM32" s="52" t="n">
        <v>0.02</v>
      </c>
      <c r="BN32" s="27" t="n">
        <f aca="false">(1/(0.59+0.41*(BM32^2/F32^2)^3)-1)^2</f>
        <v>0.48280245460255</v>
      </c>
      <c r="BO32" s="16" t="n">
        <f aca="false">BL32*BN32</f>
        <v>0</v>
      </c>
      <c r="BP32" s="51" t="n">
        <v>0</v>
      </c>
      <c r="BQ32" s="52" t="n">
        <v>10</v>
      </c>
      <c r="BR32" s="27" t="n">
        <f aca="false">IF(BQ32=10,0.065,IF(BQ32=15,0.14,IF(BQ32=20,0.26,IF(BQ32=30,0.43,IF(BQ32=45,0.52,0.62)))))</f>
        <v>0.065</v>
      </c>
      <c r="BS32" s="16" t="n">
        <f aca="false">BP32*BR32</f>
        <v>0</v>
      </c>
      <c r="BT32" s="51" t="n">
        <v>0</v>
      </c>
      <c r="BU32" s="52" t="n">
        <v>45</v>
      </c>
      <c r="BV32" s="52" t="n">
        <v>0.05</v>
      </c>
      <c r="BW32" s="38" t="n">
        <f aca="false">0.59+0.41*(BV32^2/F32^2)^3</f>
        <v>0.59640625</v>
      </c>
      <c r="BX32" s="38" t="n">
        <f aca="false">IF(BU32&lt;90,(1/BW32-1)^2*SIN(BU32),(1/BW32-1)^2)</f>
        <v>0.389659092738285</v>
      </c>
      <c r="BY32" s="16" t="n">
        <f aca="false">BT32*BX32</f>
        <v>0</v>
      </c>
      <c r="BZ32" s="51" t="n">
        <v>0</v>
      </c>
      <c r="CA32" s="52" t="n">
        <v>0.01</v>
      </c>
      <c r="CB32" s="27" t="n">
        <f aca="false">2.8*(1-(CA32/F32)^2)*((F32/CA32)^4-1)</f>
        <v>27717.228</v>
      </c>
      <c r="CC32" s="16" t="n">
        <f aca="false">BZ32*CB32</f>
        <v>0</v>
      </c>
      <c r="CD32" s="52"/>
      <c r="CE32" s="14" t="n">
        <f aca="false">IF(G32=0,0,T32+W32+Z32+AC32+AF32+AI32+AL32+AO32+AR32+AU32+AX32+BA32+BD32+BG32+BK32+BO32+BS32+BY32+CC32+CD32)</f>
        <v>0</v>
      </c>
      <c r="CF32" s="27" t="n">
        <f aca="false">(CE32*D32*M32^2/2)/100000</f>
        <v>0</v>
      </c>
      <c r="CG32" s="27" t="n">
        <f aca="false">(Q32*G32/F32*D32*M32^2/2)/100000</f>
        <v>0.0182386031663382</v>
      </c>
      <c r="CH32" s="27" t="n">
        <f aca="false">(9.81*D32*H32)/100000</f>
        <v>0</v>
      </c>
      <c r="CI32" s="16" t="n">
        <f aca="false">CF32+CG32+CH32</f>
        <v>0.0182386031663382</v>
      </c>
      <c r="CJ32" s="0" t="n">
        <f aca="false">CJ31-CI32</f>
        <v>2.97356878720858</v>
      </c>
      <c r="CK32" s="47" t="n">
        <f aca="false">(CJ31-CJ32)/CJ31*100</f>
        <v>0.609618226929135</v>
      </c>
      <c r="CL32" s="0" t="n">
        <f aca="false">(CJ32*100000*$C$11/1000)/(8.314*(273.15+$C$12))</f>
        <v>3.47881355396402</v>
      </c>
      <c r="CM32" s="0" t="n">
        <f aca="false">CJ31/CJ32</f>
        <v>1.00613357365224</v>
      </c>
      <c r="CN32" s="0" t="n">
        <f aca="false">(2/($C$13+1))^(-$C$13/($C$13-1))</f>
        <v>1.89292915873785</v>
      </c>
      <c r="CO32" s="0" t="str">
        <f aca="false">IF(CM32&gt;CN32,"choked flow","ok")</f>
        <v>ok</v>
      </c>
      <c r="CQ32" s="0" t="n">
        <f aca="false">IF(CK32&gt;10,1,0)</f>
        <v>0</v>
      </c>
      <c r="CR32" s="0" t="n">
        <f aca="false">IF(CO32="ok",0,1)</f>
        <v>0</v>
      </c>
    </row>
    <row r="33" customFormat="false" ht="13.8" hidden="false" customHeight="false" outlineLevel="0" collapsed="false">
      <c r="B33" s="48" t="s">
        <v>125</v>
      </c>
      <c r="C33" s="15" t="s">
        <v>3</v>
      </c>
      <c r="D33" s="15" t="n">
        <f aca="false">CL32</f>
        <v>3.47881355396402</v>
      </c>
      <c r="E33" s="15" t="n">
        <v>0.00043</v>
      </c>
      <c r="F33" s="15" t="n">
        <v>0.1</v>
      </c>
      <c r="G33" s="15" t="n">
        <v>100</v>
      </c>
      <c r="H33" s="15" t="n">
        <v>0</v>
      </c>
      <c r="I33" s="15" t="n">
        <v>0.045</v>
      </c>
      <c r="J33" s="49" t="n">
        <f aca="false">(I33/1000)/F33</f>
        <v>0.00045</v>
      </c>
      <c r="K33" s="49" t="n">
        <f aca="false">$C$17</f>
        <v>500</v>
      </c>
      <c r="L33" s="49" t="n">
        <f aca="false">K33/D33</f>
        <v>143.72716221893</v>
      </c>
      <c r="M33" s="49" t="n">
        <f aca="false">3.54*L33/(F33*100)^2</f>
        <v>5.08794154255014</v>
      </c>
      <c r="N33" s="50" t="n">
        <f aca="false">F33*M33*D33/E33</f>
        <v>4116.27906976744</v>
      </c>
      <c r="O33" s="49" t="n">
        <f aca="false">(2.457*LN((((7/N33)^0.9+0.27*(I33/1000)/F33))^(-1)))^16</f>
        <v>2.20281827064436E+018</v>
      </c>
      <c r="P33" s="49" t="n">
        <f aca="false">(37530/N33)^16</f>
        <v>2280237365803180</v>
      </c>
      <c r="Q33" s="49" t="n">
        <f aca="false">IF(N33&lt;2000,64/N33,8*((8/N33)^12+1/(O33+P33)^1.5)^(1/12))</f>
        <v>0.0407532108745293</v>
      </c>
      <c r="R33" s="51" t="n">
        <v>0</v>
      </c>
      <c r="S33" s="27" t="n">
        <v>0.75</v>
      </c>
      <c r="T33" s="16" t="n">
        <f aca="false">R33*S33</f>
        <v>0</v>
      </c>
      <c r="U33" s="51" t="n">
        <v>0</v>
      </c>
      <c r="V33" s="27" t="n">
        <v>0.45</v>
      </c>
      <c r="W33" s="16" t="n">
        <f aca="false">U33*V33</f>
        <v>0</v>
      </c>
      <c r="X33" s="51" t="n">
        <v>0</v>
      </c>
      <c r="Y33" s="27" t="n">
        <v>0.35</v>
      </c>
      <c r="Z33" s="16" t="n">
        <f aca="false">X33*Y33</f>
        <v>0</v>
      </c>
      <c r="AA33" s="51" t="n">
        <v>0</v>
      </c>
      <c r="AB33" s="27" t="n">
        <v>0.2</v>
      </c>
      <c r="AC33" s="16" t="n">
        <f aca="false">AA33*AB33</f>
        <v>0</v>
      </c>
      <c r="AD33" s="51" t="n">
        <v>0</v>
      </c>
      <c r="AE33" s="27" t="n">
        <v>0.04</v>
      </c>
      <c r="AF33" s="16" t="n">
        <f aca="false">AD33*AE33</f>
        <v>0</v>
      </c>
      <c r="AG33" s="51" t="n">
        <v>0</v>
      </c>
      <c r="AH33" s="27" t="n">
        <f aca="false">IF($AI$29="Open",6,9.5)</f>
        <v>6</v>
      </c>
      <c r="AI33" s="16" t="n">
        <f aca="false">AG33*AH33</f>
        <v>0</v>
      </c>
      <c r="AJ33" s="51" t="n">
        <v>0</v>
      </c>
      <c r="AK33" s="27" t="n">
        <f aca="false">IF($AL$29="Open",9,IF($AL$29="3/4 Open",13,IF($AL$29="1/2 Open",36,112)))</f>
        <v>9</v>
      </c>
      <c r="AL33" s="16" t="n">
        <f aca="false">AJ33*AK33</f>
        <v>0</v>
      </c>
      <c r="AM33" s="51" t="n">
        <v>0</v>
      </c>
      <c r="AN33" s="27" t="n">
        <f aca="false">IF($AO$29="Open",0.17,IF($AO$29="3/4 Open",0.9,IF($AO$29="1/2 Open",4.5,24)))</f>
        <v>0.17</v>
      </c>
      <c r="AO33" s="16" t="n">
        <f aca="false">AM33*AN33</f>
        <v>0</v>
      </c>
      <c r="AP33" s="51" t="n">
        <v>0</v>
      </c>
      <c r="AQ33" s="27" t="n">
        <f aca="false">32000000*(90-$AR$29)^-4</f>
        <v>0.487730528882792</v>
      </c>
      <c r="AR33" s="16" t="n">
        <f aca="false">AP33*AQ33</f>
        <v>0</v>
      </c>
      <c r="AS33" s="51" t="n">
        <v>0</v>
      </c>
      <c r="AT33" s="27" t="n">
        <f aca="false">10.5*($AU$29/(67-$AU$29))^2</f>
        <v>0</v>
      </c>
      <c r="AU33" s="16" t="n">
        <f aca="false">AS33*AT33</f>
        <v>0</v>
      </c>
      <c r="AV33" s="51" t="n">
        <v>0</v>
      </c>
      <c r="AW33" s="27" t="n">
        <f aca="false">IF($AX$29="Open",2.3,IF($AX$29="3/4 Open",2.6,IF($AX$29="1/2 Open",4.3,21)))</f>
        <v>2.3</v>
      </c>
      <c r="AX33" s="16" t="n">
        <f aca="false">AV33*AW33</f>
        <v>0</v>
      </c>
      <c r="AY33" s="51" t="n">
        <v>0</v>
      </c>
      <c r="AZ33" s="27" t="n">
        <v>4</v>
      </c>
      <c r="BA33" s="16" t="n">
        <f aca="false">AY33*AZ33</f>
        <v>0</v>
      </c>
      <c r="BB33" s="51" t="n">
        <v>0</v>
      </c>
      <c r="BC33" s="27" t="n">
        <v>1</v>
      </c>
      <c r="BD33" s="16" t="n">
        <f aca="false">BB33*BC33</f>
        <v>0</v>
      </c>
      <c r="BE33" s="51" t="n">
        <v>0</v>
      </c>
      <c r="BF33" s="27" t="n">
        <v>0.5</v>
      </c>
      <c r="BG33" s="16" t="n">
        <f aca="false">BE33*BF33</f>
        <v>0</v>
      </c>
      <c r="BH33" s="51" t="n">
        <v>0</v>
      </c>
      <c r="BI33" s="52" t="n">
        <v>0.1</v>
      </c>
      <c r="BJ33" s="27" t="n">
        <f aca="false">(1-(F33^2/BI33^2))^2</f>
        <v>0</v>
      </c>
      <c r="BK33" s="16" t="n">
        <f aca="false">BH33*BJ33</f>
        <v>0</v>
      </c>
      <c r="BL33" s="51" t="n">
        <v>0</v>
      </c>
      <c r="BM33" s="52" t="n">
        <v>0.02</v>
      </c>
      <c r="BN33" s="27" t="n">
        <f aca="false">(1/(0.59+0.41*(BM33^2/F33^2)^3)-1)^2</f>
        <v>0.48280245460255</v>
      </c>
      <c r="BO33" s="16" t="n">
        <f aca="false">BL33*BN33</f>
        <v>0</v>
      </c>
      <c r="BP33" s="51" t="n">
        <v>0</v>
      </c>
      <c r="BQ33" s="52" t="n">
        <v>10</v>
      </c>
      <c r="BR33" s="27" t="n">
        <f aca="false">IF(BQ33=10,0.065,IF(BQ33=15,0.14,IF(BQ33=20,0.26,IF(BQ33=30,0.43,IF(BQ33=45,0.52,0.62)))))</f>
        <v>0.065</v>
      </c>
      <c r="BS33" s="16" t="n">
        <f aca="false">BP33*BR33</f>
        <v>0</v>
      </c>
      <c r="BT33" s="51" t="n">
        <v>0</v>
      </c>
      <c r="BU33" s="52" t="n">
        <v>45</v>
      </c>
      <c r="BV33" s="52" t="n">
        <v>0.05</v>
      </c>
      <c r="BW33" s="38" t="n">
        <f aca="false">0.59+0.41*(BV33^2/F33^2)^3</f>
        <v>0.59640625</v>
      </c>
      <c r="BX33" s="38" t="n">
        <f aca="false">IF(BU33&lt;90,(1/BW33-1)^2*SIN(BU33),(1/BW33-1)^2)</f>
        <v>0.389659092738285</v>
      </c>
      <c r="BY33" s="16" t="n">
        <f aca="false">BT33*BX33</f>
        <v>0</v>
      </c>
      <c r="BZ33" s="51" t="n">
        <v>0</v>
      </c>
      <c r="CA33" s="52" t="n">
        <v>0.02</v>
      </c>
      <c r="CB33" s="27" t="n">
        <f aca="false">2.8*(1-(CA33/F33)^2)*((F33/CA33)^4-1)</f>
        <v>1677.312</v>
      </c>
      <c r="CC33" s="16" t="n">
        <f aca="false">BZ33*CB33</f>
        <v>0</v>
      </c>
      <c r="CD33" s="52"/>
      <c r="CE33" s="14" t="n">
        <f aca="false">IF(G33=0,0,T33+W33+Z33+AC33+AF33+AI33+AL33+AO33+AR33+AU33+AX33+BA33+BD33+BG33+BK33+BO33+BS33+BY33+CC33+CD33)</f>
        <v>0</v>
      </c>
      <c r="CF33" s="27" t="n">
        <f aca="false">(CE33*D33*M33^2/2)/100000</f>
        <v>0</v>
      </c>
      <c r="CG33" s="27" t="n">
        <f aca="false">(Q33*G33/F33*D33*M33^2/2)/100000</f>
        <v>0.0183504709821729</v>
      </c>
      <c r="CH33" s="27" t="n">
        <f aca="false">(9.81*D33*H33)/100000</f>
        <v>0</v>
      </c>
      <c r="CI33" s="16" t="n">
        <f aca="false">CF33+CG33+CH33</f>
        <v>0.0183504709821729</v>
      </c>
      <c r="CJ33" s="0" t="n">
        <f aca="false">CJ32-CI33</f>
        <v>2.95521831622641</v>
      </c>
      <c r="CK33" s="47" t="n">
        <f aca="false">(CJ32-CJ33)/CJ32*100</f>
        <v>0.61711943779848</v>
      </c>
      <c r="CL33" s="0" t="n">
        <f aca="false">(CJ33*100000*$C$11/1000)/(8.314*(273.15+$C$12))</f>
        <v>3.45734511931774</v>
      </c>
      <c r="CM33" s="0" t="n">
        <f aca="false">CJ32/CJ33</f>
        <v>1.00620951449895</v>
      </c>
      <c r="CN33" s="0" t="n">
        <f aca="false">(2/($C$13+1))^(-$C$13/($C$13-1))</f>
        <v>1.89292915873785</v>
      </c>
      <c r="CO33" s="0" t="str">
        <f aca="false">IF(CM33&gt;CN33,"choked flow","ok")</f>
        <v>ok</v>
      </c>
      <c r="CQ33" s="0" t="n">
        <f aca="false">IF(CK33&gt;10,1,0)</f>
        <v>0</v>
      </c>
      <c r="CR33" s="0" t="n">
        <f aca="false">IF(CO33="ok",0,1)</f>
        <v>0</v>
      </c>
    </row>
    <row r="34" customFormat="false" ht="13.8" hidden="false" customHeight="false" outlineLevel="0" collapsed="false">
      <c r="B34" s="48" t="s">
        <v>126</v>
      </c>
      <c r="C34" s="15" t="s">
        <v>3</v>
      </c>
      <c r="D34" s="15" t="n">
        <f aca="false">CL33</f>
        <v>3.45734511931774</v>
      </c>
      <c r="E34" s="15" t="n">
        <v>0.00043</v>
      </c>
      <c r="F34" s="15" t="n">
        <v>0.1</v>
      </c>
      <c r="G34" s="15" t="n">
        <v>100</v>
      </c>
      <c r="H34" s="15" t="n">
        <v>0</v>
      </c>
      <c r="I34" s="15" t="n">
        <v>0.045</v>
      </c>
      <c r="J34" s="49" t="n">
        <f aca="false">(I34/1000)/F34</f>
        <v>0.00045</v>
      </c>
      <c r="K34" s="49" t="n">
        <f aca="false">$C$17</f>
        <v>500</v>
      </c>
      <c r="L34" s="49" t="n">
        <f aca="false">K34/D34</f>
        <v>144.619638116622</v>
      </c>
      <c r="M34" s="49" t="n">
        <f aca="false">3.54*L34/(F34*100)^2</f>
        <v>5.11953518932841</v>
      </c>
      <c r="N34" s="50" t="n">
        <f aca="false">F34*M34*D34/E34</f>
        <v>4116.27906976744</v>
      </c>
      <c r="O34" s="49" t="n">
        <f aca="false">(2.457*LN((((7/N34)^0.9+0.27*(I34/1000)/F34))^(-1)))^16</f>
        <v>2.20281827064436E+018</v>
      </c>
      <c r="P34" s="49" t="n">
        <f aca="false">(37530/N34)^16</f>
        <v>2280237365803170</v>
      </c>
      <c r="Q34" s="49" t="n">
        <f aca="false">IF(N34&lt;2000,64/N34,8*((8/N34)^12+1/(O34+P34)^1.5)^(1/12))</f>
        <v>0.0407532108745293</v>
      </c>
      <c r="R34" s="51" t="n">
        <v>0</v>
      </c>
      <c r="S34" s="27" t="n">
        <v>0.75</v>
      </c>
      <c r="T34" s="16" t="n">
        <f aca="false">R34*S34</f>
        <v>0</v>
      </c>
      <c r="U34" s="51" t="n">
        <v>0</v>
      </c>
      <c r="V34" s="27" t="n">
        <v>0.45</v>
      </c>
      <c r="W34" s="16" t="n">
        <f aca="false">U34*V34</f>
        <v>0</v>
      </c>
      <c r="X34" s="51" t="n">
        <v>0</v>
      </c>
      <c r="Y34" s="27" t="n">
        <v>0.35</v>
      </c>
      <c r="Z34" s="16" t="n">
        <f aca="false">X34*Y34</f>
        <v>0</v>
      </c>
      <c r="AA34" s="51" t="n">
        <v>0</v>
      </c>
      <c r="AB34" s="27" t="n">
        <v>0.2</v>
      </c>
      <c r="AC34" s="16" t="n">
        <f aca="false">AA34*AB34</f>
        <v>0</v>
      </c>
      <c r="AD34" s="51" t="n">
        <v>0</v>
      </c>
      <c r="AE34" s="27" t="n">
        <v>0.04</v>
      </c>
      <c r="AF34" s="16" t="n">
        <f aca="false">AD34*AE34</f>
        <v>0</v>
      </c>
      <c r="AG34" s="51" t="n">
        <v>0</v>
      </c>
      <c r="AH34" s="27" t="n">
        <f aca="false">IF($AI$29="Open",6,9.5)</f>
        <v>6</v>
      </c>
      <c r="AI34" s="16" t="n">
        <f aca="false">AG34*AH34</f>
        <v>0</v>
      </c>
      <c r="AJ34" s="51" t="n">
        <v>0</v>
      </c>
      <c r="AK34" s="27" t="n">
        <f aca="false">IF($AL$29="Open",9,IF($AL$29="3/4 Open",13,IF($AL$29="1/2 Open",36,112)))</f>
        <v>9</v>
      </c>
      <c r="AL34" s="16" t="n">
        <f aca="false">AJ34*AK34</f>
        <v>0</v>
      </c>
      <c r="AM34" s="51" t="n">
        <v>0</v>
      </c>
      <c r="AN34" s="27" t="n">
        <f aca="false">IF($AO$29="Open",0.17,IF($AO$29="3/4 Open",0.9,IF($AO$29="1/2 Open",4.5,24)))</f>
        <v>0.17</v>
      </c>
      <c r="AO34" s="16" t="n">
        <f aca="false">AM34*AN34</f>
        <v>0</v>
      </c>
      <c r="AP34" s="51" t="n">
        <v>0</v>
      </c>
      <c r="AQ34" s="27" t="n">
        <f aca="false">32000000*(90-$AR$29)^-4</f>
        <v>0.487730528882792</v>
      </c>
      <c r="AR34" s="16" t="n">
        <f aca="false">AP34*AQ34</f>
        <v>0</v>
      </c>
      <c r="AS34" s="51" t="n">
        <v>0</v>
      </c>
      <c r="AT34" s="27" t="n">
        <f aca="false">10.5*($AU$29/(67-$AU$29))^2</f>
        <v>0</v>
      </c>
      <c r="AU34" s="16" t="n">
        <f aca="false">AS34*AT34</f>
        <v>0</v>
      </c>
      <c r="AV34" s="51" t="n">
        <v>0</v>
      </c>
      <c r="AW34" s="27" t="n">
        <f aca="false">IF($AX$29="Open",2.3,IF($AX$29="3/4 Open",2.6,IF($AX$29="1/2 Open",4.3,21)))</f>
        <v>2.3</v>
      </c>
      <c r="AX34" s="16" t="n">
        <f aca="false">AV34*AW34</f>
        <v>0</v>
      </c>
      <c r="AY34" s="51" t="n">
        <v>0</v>
      </c>
      <c r="AZ34" s="27" t="n">
        <v>4</v>
      </c>
      <c r="BA34" s="16" t="n">
        <f aca="false">AY34*AZ34</f>
        <v>0</v>
      </c>
      <c r="BB34" s="51" t="n">
        <v>0</v>
      </c>
      <c r="BC34" s="27" t="n">
        <v>1</v>
      </c>
      <c r="BD34" s="16" t="n">
        <f aca="false">BB34*BC34</f>
        <v>0</v>
      </c>
      <c r="BE34" s="51" t="n">
        <v>0</v>
      </c>
      <c r="BF34" s="27" t="n">
        <v>0.5</v>
      </c>
      <c r="BG34" s="16" t="n">
        <f aca="false">BE34*BF34</f>
        <v>0</v>
      </c>
      <c r="BH34" s="51" t="n">
        <v>0</v>
      </c>
      <c r="BI34" s="52" t="n">
        <v>0.1</v>
      </c>
      <c r="BJ34" s="27" t="n">
        <f aca="false">(1-(F34^2/BI34^2))^2</f>
        <v>0</v>
      </c>
      <c r="BK34" s="16" t="n">
        <f aca="false">BH34*BJ34</f>
        <v>0</v>
      </c>
      <c r="BL34" s="51" t="n">
        <v>0</v>
      </c>
      <c r="BM34" s="52" t="n">
        <v>0.02</v>
      </c>
      <c r="BN34" s="27" t="n">
        <f aca="false">(1/(0.59+0.41*(BM34^2/F34^2)^3)-1)^2</f>
        <v>0.48280245460255</v>
      </c>
      <c r="BO34" s="16" t="n">
        <f aca="false">BL34*BN34</f>
        <v>0</v>
      </c>
      <c r="BP34" s="51" t="n">
        <v>0</v>
      </c>
      <c r="BQ34" s="52" t="n">
        <v>10</v>
      </c>
      <c r="BR34" s="27" t="n">
        <f aca="false">IF(BQ34=10,0.065,IF(BQ34=15,0.14,IF(BQ34=20,0.26,IF(BQ34=30,0.43,IF(BQ34=45,0.52,0.62)))))</f>
        <v>0.065</v>
      </c>
      <c r="BS34" s="16" t="n">
        <f aca="false">BP34*BR34</f>
        <v>0</v>
      </c>
      <c r="BT34" s="51" t="n">
        <v>0</v>
      </c>
      <c r="BU34" s="52" t="n">
        <v>45</v>
      </c>
      <c r="BV34" s="52" t="n">
        <v>0.05</v>
      </c>
      <c r="BW34" s="38" t="n">
        <f aca="false">0.59+0.41*(BV34^2/F34^2)^3</f>
        <v>0.59640625</v>
      </c>
      <c r="BX34" s="38" t="n">
        <f aca="false">IF(BU34&lt;90,(1/BW34-1)^2*SIN(BU34),(1/BW34-1)^2)</f>
        <v>0.389659092738285</v>
      </c>
      <c r="BY34" s="16" t="n">
        <f aca="false">BT34*BX34</f>
        <v>0</v>
      </c>
      <c r="BZ34" s="51" t="n">
        <v>0</v>
      </c>
      <c r="CA34" s="52" t="n">
        <v>0.03</v>
      </c>
      <c r="CB34" s="27" t="n">
        <f aca="false">2.8*(1-(CA34/F34)^2)*((F34/CA34)^4-1)</f>
        <v>312.019901234568</v>
      </c>
      <c r="CC34" s="16" t="n">
        <f aca="false">BZ34*CB34</f>
        <v>0</v>
      </c>
      <c r="CD34" s="52"/>
      <c r="CE34" s="14" t="n">
        <f aca="false">IF(G34=0,0,T34+W34+Z34+AC34+AF34+AI34+AL34+AO34+AR34+AU34+AX34+BA34+BD34+BG34+BK34+BO34+BS34+BY34+CC34+CD34)</f>
        <v>0</v>
      </c>
      <c r="CF34" s="27" t="n">
        <f aca="false">(CE34*D34*M34^2/2)/100000</f>
        <v>0</v>
      </c>
      <c r="CG34" s="27" t="n">
        <f aca="false">(Q34*G34/F34*D34*M34^2/2)/100000</f>
        <v>0.0184644184977993</v>
      </c>
      <c r="CH34" s="27" t="n">
        <f aca="false">(9.81*D34*H34)/100000</f>
        <v>0</v>
      </c>
      <c r="CI34" s="16" t="n">
        <f aca="false">CF34+CG34+CH34</f>
        <v>0.0184644184977993</v>
      </c>
      <c r="CJ34" s="0" t="n">
        <f aca="false">CJ33-CI34</f>
        <v>2.93675389772861</v>
      </c>
      <c r="CK34" s="47" t="n">
        <f aca="false">(CJ33-CJ34)/CJ33*100</f>
        <v>0.624807256926352</v>
      </c>
      <c r="CL34" s="0" t="n">
        <f aca="false">(CJ34*100000*$C$11/1000)/(8.314*(273.15+$C$12))</f>
        <v>3.43574337611525</v>
      </c>
      <c r="CM34" s="0" t="n">
        <f aca="false">CJ33/CJ34</f>
        <v>1.0062873564285</v>
      </c>
      <c r="CN34" s="0" t="n">
        <f aca="false">(2/($C$13+1))^(-$C$13/($C$13-1))</f>
        <v>1.89292915873785</v>
      </c>
      <c r="CO34" s="0" t="str">
        <f aca="false">IF(CM34&gt;CN34,"choked flow","ok")</f>
        <v>ok</v>
      </c>
      <c r="CQ34" s="0" t="n">
        <f aca="false">IF(CK34&gt;10,1,0)</f>
        <v>0</v>
      </c>
      <c r="CR34" s="0" t="n">
        <f aca="false">IF(CO34="ok",0,1)</f>
        <v>0</v>
      </c>
    </row>
    <row r="35" customFormat="false" ht="13.8" hidden="false" customHeight="false" outlineLevel="0" collapsed="false">
      <c r="B35" s="48" t="s">
        <v>127</v>
      </c>
      <c r="C35" s="15" t="s">
        <v>3</v>
      </c>
      <c r="D35" s="15" t="n">
        <f aca="false">CL34</f>
        <v>3.43574337611525</v>
      </c>
      <c r="E35" s="15" t="n">
        <v>0.00043</v>
      </c>
      <c r="F35" s="15" t="n">
        <v>0.1</v>
      </c>
      <c r="G35" s="15" t="n">
        <v>100</v>
      </c>
      <c r="H35" s="15" t="n">
        <v>0</v>
      </c>
      <c r="I35" s="15" t="n">
        <v>0.045</v>
      </c>
      <c r="J35" s="49" t="n">
        <f aca="false">(I35/1000)/F35</f>
        <v>0.00045</v>
      </c>
      <c r="K35" s="49" t="n">
        <f aca="false">$C$17</f>
        <v>500</v>
      </c>
      <c r="L35" s="49" t="n">
        <f aca="false">K35/D35</f>
        <v>145.528913328021</v>
      </c>
      <c r="M35" s="49" t="n">
        <f aca="false">3.54*L35/(F35*100)^2</f>
        <v>5.15172353181196</v>
      </c>
      <c r="N35" s="50" t="n">
        <f aca="false">F35*M35*D35/E35</f>
        <v>4116.27906976744</v>
      </c>
      <c r="O35" s="49" t="n">
        <f aca="false">(2.457*LN((((7/N35)^0.9+0.27*(I35/1000)/F35))^(-1)))^16</f>
        <v>2.20281827064436E+018</v>
      </c>
      <c r="P35" s="49" t="n">
        <f aca="false">(37530/N35)^16</f>
        <v>2280237365803170</v>
      </c>
      <c r="Q35" s="49" t="n">
        <f aca="false">IF(N35&lt;2000,64/N35,8*((8/N35)^12+1/(O35+P35)^1.5)^(1/12))</f>
        <v>0.0407532108745293</v>
      </c>
      <c r="R35" s="51" t="n">
        <v>0</v>
      </c>
      <c r="S35" s="27" t="n">
        <v>0.75</v>
      </c>
      <c r="T35" s="16" t="n">
        <f aca="false">R35*S35</f>
        <v>0</v>
      </c>
      <c r="U35" s="51" t="n">
        <v>0</v>
      </c>
      <c r="V35" s="27" t="n">
        <v>0.45</v>
      </c>
      <c r="W35" s="16" t="n">
        <f aca="false">U35*V35</f>
        <v>0</v>
      </c>
      <c r="X35" s="51" t="n">
        <v>0</v>
      </c>
      <c r="Y35" s="27" t="n">
        <v>0.35</v>
      </c>
      <c r="Z35" s="16" t="n">
        <f aca="false">X35*Y35</f>
        <v>0</v>
      </c>
      <c r="AA35" s="51" t="n">
        <v>0</v>
      </c>
      <c r="AB35" s="27" t="n">
        <v>0.2</v>
      </c>
      <c r="AC35" s="16" t="n">
        <f aca="false">AA35*AB35</f>
        <v>0</v>
      </c>
      <c r="AD35" s="51" t="n">
        <v>0</v>
      </c>
      <c r="AE35" s="27" t="n">
        <v>0.04</v>
      </c>
      <c r="AF35" s="16" t="n">
        <f aca="false">AD35*AE35</f>
        <v>0</v>
      </c>
      <c r="AG35" s="51" t="n">
        <v>0</v>
      </c>
      <c r="AH35" s="27" t="n">
        <f aca="false">IF($AI$29="Open",6,9.5)</f>
        <v>6</v>
      </c>
      <c r="AI35" s="16" t="n">
        <f aca="false">AG35*AH35</f>
        <v>0</v>
      </c>
      <c r="AJ35" s="51" t="n">
        <v>0</v>
      </c>
      <c r="AK35" s="27" t="n">
        <f aca="false">IF($AL$29="Open",9,IF($AL$29="3/4 Open",13,IF($AL$29="1/2 Open",36,112)))</f>
        <v>9</v>
      </c>
      <c r="AL35" s="16" t="n">
        <f aca="false">AJ35*AK35</f>
        <v>0</v>
      </c>
      <c r="AM35" s="51" t="n">
        <v>0</v>
      </c>
      <c r="AN35" s="27" t="n">
        <f aca="false">IF($AO$29="Open",0.17,IF($AO$29="3/4 Open",0.9,IF($AO$29="1/2 Open",4.5,24)))</f>
        <v>0.17</v>
      </c>
      <c r="AO35" s="16" t="n">
        <f aca="false">AM35*AN35</f>
        <v>0</v>
      </c>
      <c r="AP35" s="51" t="n">
        <v>0</v>
      </c>
      <c r="AQ35" s="27" t="n">
        <f aca="false">32000000*(90-$AR$29)^-4</f>
        <v>0.487730528882792</v>
      </c>
      <c r="AR35" s="16" t="n">
        <f aca="false">AP35*AQ35</f>
        <v>0</v>
      </c>
      <c r="AS35" s="51" t="n">
        <v>0</v>
      </c>
      <c r="AT35" s="27" t="n">
        <f aca="false">10.5*($AU$29/(67-$AU$29))^2</f>
        <v>0</v>
      </c>
      <c r="AU35" s="16" t="n">
        <f aca="false">AS35*AT35</f>
        <v>0</v>
      </c>
      <c r="AV35" s="51" t="n">
        <v>0</v>
      </c>
      <c r="AW35" s="27" t="n">
        <f aca="false">IF($AX$29="Open",2.3,IF($AX$29="3/4 Open",2.6,IF($AX$29="1/2 Open",4.3,21)))</f>
        <v>2.3</v>
      </c>
      <c r="AX35" s="16" t="n">
        <f aca="false">AV35*AW35</f>
        <v>0</v>
      </c>
      <c r="AY35" s="51" t="n">
        <v>0</v>
      </c>
      <c r="AZ35" s="27" t="n">
        <v>4</v>
      </c>
      <c r="BA35" s="16" t="n">
        <f aca="false">AY35*AZ35</f>
        <v>0</v>
      </c>
      <c r="BB35" s="51" t="n">
        <v>0</v>
      </c>
      <c r="BC35" s="27" t="n">
        <v>1</v>
      </c>
      <c r="BD35" s="16" t="n">
        <f aca="false">BB35*BC35</f>
        <v>0</v>
      </c>
      <c r="BE35" s="51" t="n">
        <v>0</v>
      </c>
      <c r="BF35" s="27" t="n">
        <v>0.5</v>
      </c>
      <c r="BG35" s="16" t="n">
        <f aca="false">BE35*BF35</f>
        <v>0</v>
      </c>
      <c r="BH35" s="51" t="n">
        <v>0</v>
      </c>
      <c r="BI35" s="52" t="n">
        <v>0.1</v>
      </c>
      <c r="BJ35" s="27" t="n">
        <f aca="false">(1-(F35^2/BI35^2))^2</f>
        <v>0</v>
      </c>
      <c r="BK35" s="16" t="n">
        <f aca="false">BH35*BJ35</f>
        <v>0</v>
      </c>
      <c r="BL35" s="51" t="n">
        <v>0</v>
      </c>
      <c r="BM35" s="52" t="n">
        <v>0.02</v>
      </c>
      <c r="BN35" s="27" t="n">
        <f aca="false">(1/(0.59+0.41*(BM35^2/F35^2)^3)-1)^2</f>
        <v>0.48280245460255</v>
      </c>
      <c r="BO35" s="16" t="n">
        <f aca="false">BL35*BN35</f>
        <v>0</v>
      </c>
      <c r="BP35" s="51" t="n">
        <v>0</v>
      </c>
      <c r="BQ35" s="52" t="n">
        <v>10</v>
      </c>
      <c r="BR35" s="27" t="n">
        <f aca="false">IF(BQ35=10,0.065,IF(BQ35=15,0.14,IF(BQ35=20,0.26,IF(BQ35=30,0.43,IF(BQ35=45,0.52,0.62)))))</f>
        <v>0.065</v>
      </c>
      <c r="BS35" s="16" t="n">
        <f aca="false">BP35*BR35</f>
        <v>0</v>
      </c>
      <c r="BT35" s="51" t="n">
        <v>0</v>
      </c>
      <c r="BU35" s="52" t="n">
        <v>45</v>
      </c>
      <c r="BV35" s="52" t="n">
        <v>0.05</v>
      </c>
      <c r="BW35" s="38" t="n">
        <f aca="false">0.59+0.41*(BV35^2/F35^2)^3</f>
        <v>0.59640625</v>
      </c>
      <c r="BX35" s="38" t="n">
        <f aca="false">IF(BU35&lt;90,(1/BW35-1)^2*SIN(BU35),(1/BW35-1)^2)</f>
        <v>0.389659092738285</v>
      </c>
      <c r="BY35" s="16" t="n">
        <f aca="false">BT35*BX35</f>
        <v>0</v>
      </c>
      <c r="BZ35" s="51" t="n">
        <v>0</v>
      </c>
      <c r="CA35" s="52" t="n">
        <v>0.04</v>
      </c>
      <c r="CB35" s="27" t="n">
        <f aca="false">2.8*(1-(CA35/F35)^2)*((F35/CA35)^4-1)</f>
        <v>89.523</v>
      </c>
      <c r="CC35" s="16" t="n">
        <f aca="false">BZ35*CB35</f>
        <v>0</v>
      </c>
      <c r="CD35" s="52"/>
      <c r="CE35" s="14" t="n">
        <f aca="false">IF(G35=0,0,T35+W35+Z35+AC35+AF35+AI35+AL35+AO35+AR35+AU35+AX35+BA35+BD35+BG35+BK35+BO35+BS35+BY35+CC35+CD35)</f>
        <v>0</v>
      </c>
      <c r="CF35" s="27" t="n">
        <f aca="false">(CE35*D35*M35^2/2)/100000</f>
        <v>0</v>
      </c>
      <c r="CG35" s="27" t="n">
        <f aca="false">(Q35*G35/F35*D35*M35^2/2)/100000</f>
        <v>0.0185805108781399</v>
      </c>
      <c r="CH35" s="27" t="n">
        <f aca="false">(9.81*D35*H35)/100000</f>
        <v>0</v>
      </c>
      <c r="CI35" s="16" t="n">
        <f aca="false">CF35+CG35+CH35</f>
        <v>0.0185805108781399</v>
      </c>
      <c r="CJ35" s="0" t="n">
        <f aca="false">CJ34-CI35</f>
        <v>2.91817338685047</v>
      </c>
      <c r="CK35" s="47" t="n">
        <f aca="false">(CJ34-CJ35)/CJ34*100</f>
        <v>0.632688727935653</v>
      </c>
      <c r="CL35" s="0" t="n">
        <f aca="false">(CJ35*100000*$C$11/1000)/(8.314*(273.15+$C$12))</f>
        <v>3.41400581505377</v>
      </c>
      <c r="CM35" s="0" t="n">
        <f aca="false">CJ34/CJ35</f>
        <v>1.00636717165672</v>
      </c>
      <c r="CN35" s="0" t="n">
        <f aca="false">(2/($C$13+1))^(-$C$13/($C$13-1))</f>
        <v>1.89292915873785</v>
      </c>
      <c r="CO35" s="0" t="str">
        <f aca="false">IF(CM35&gt;CN35,"choked flow","ok")</f>
        <v>ok</v>
      </c>
      <c r="CQ35" s="0" t="n">
        <f aca="false">IF(CK35&gt;10,1,0)</f>
        <v>0</v>
      </c>
      <c r="CR35" s="0" t="n">
        <f aca="false">IF(CO35="ok",0,1)</f>
        <v>0</v>
      </c>
    </row>
    <row r="36" customFormat="false" ht="13.8" hidden="false" customHeight="false" outlineLevel="0" collapsed="false">
      <c r="B36" s="48" t="s">
        <v>128</v>
      </c>
      <c r="C36" s="15" t="s">
        <v>3</v>
      </c>
      <c r="D36" s="15" t="n">
        <f aca="false">CL35</f>
        <v>3.41400581505377</v>
      </c>
      <c r="E36" s="15" t="n">
        <v>0.00043</v>
      </c>
      <c r="F36" s="15" t="n">
        <v>0.1</v>
      </c>
      <c r="G36" s="15" t="n">
        <v>100</v>
      </c>
      <c r="H36" s="15" t="n">
        <v>0</v>
      </c>
      <c r="I36" s="15" t="n">
        <v>0.045</v>
      </c>
      <c r="J36" s="49" t="n">
        <f aca="false">(I36/1000)/F36</f>
        <v>0.00045</v>
      </c>
      <c r="K36" s="49" t="n">
        <f aca="false">$C$17</f>
        <v>500</v>
      </c>
      <c r="L36" s="49" t="n">
        <f aca="false">K36/D36</f>
        <v>146.455520900196</v>
      </c>
      <c r="M36" s="49" t="n">
        <f aca="false">3.54*L36/(F36*100)^2</f>
        <v>5.18452543986695</v>
      </c>
      <c r="N36" s="50" t="n">
        <f aca="false">F36*M36*D36/E36</f>
        <v>4116.27906976744</v>
      </c>
      <c r="O36" s="49" t="n">
        <f aca="false">(2.457*LN((((7/N36)^0.9+0.27*(I36/1000)/F36))^(-1)))^16</f>
        <v>2.20281827064436E+018</v>
      </c>
      <c r="P36" s="49" t="n">
        <f aca="false">(37530/N36)^16</f>
        <v>2280237365803170</v>
      </c>
      <c r="Q36" s="49" t="n">
        <f aca="false">IF(N36&lt;2000,64/N36,8*((8/N36)^12+1/(O36+P36)^1.5)^(1/12))</f>
        <v>0.0407532108745293</v>
      </c>
      <c r="R36" s="51" t="n">
        <v>0</v>
      </c>
      <c r="S36" s="27" t="n">
        <v>0.75</v>
      </c>
      <c r="T36" s="16" t="n">
        <f aca="false">R36*S36</f>
        <v>0</v>
      </c>
      <c r="U36" s="51" t="n">
        <v>0</v>
      </c>
      <c r="V36" s="27" t="n">
        <v>0.45</v>
      </c>
      <c r="W36" s="16" t="n">
        <f aca="false">U36*V36</f>
        <v>0</v>
      </c>
      <c r="X36" s="51" t="n">
        <v>0</v>
      </c>
      <c r="Y36" s="27" t="n">
        <v>0.35</v>
      </c>
      <c r="Z36" s="16" t="n">
        <f aca="false">X36*Y36</f>
        <v>0</v>
      </c>
      <c r="AA36" s="51" t="n">
        <v>0</v>
      </c>
      <c r="AB36" s="27" t="n">
        <v>0.2</v>
      </c>
      <c r="AC36" s="16" t="n">
        <f aca="false">AA36*AB36</f>
        <v>0</v>
      </c>
      <c r="AD36" s="51" t="n">
        <v>0</v>
      </c>
      <c r="AE36" s="27" t="n">
        <v>0.04</v>
      </c>
      <c r="AF36" s="16" t="n">
        <f aca="false">AD36*AE36</f>
        <v>0</v>
      </c>
      <c r="AG36" s="51" t="n">
        <v>0</v>
      </c>
      <c r="AH36" s="27" t="n">
        <f aca="false">IF($AI$29="Open",6,9.5)</f>
        <v>6</v>
      </c>
      <c r="AI36" s="16" t="n">
        <f aca="false">AG36*AH36</f>
        <v>0</v>
      </c>
      <c r="AJ36" s="51" t="n">
        <v>0</v>
      </c>
      <c r="AK36" s="27" t="n">
        <f aca="false">IF($AL$29="Open",9,IF($AL$29="3/4 Open",13,IF($AL$29="1/2 Open",36,112)))</f>
        <v>9</v>
      </c>
      <c r="AL36" s="16" t="n">
        <f aca="false">AJ36*AK36</f>
        <v>0</v>
      </c>
      <c r="AM36" s="51" t="n">
        <v>0</v>
      </c>
      <c r="AN36" s="27" t="n">
        <f aca="false">IF($AO$29="Open",0.17,IF($AO$29="3/4 Open",0.9,IF($AO$29="1/2 Open",4.5,24)))</f>
        <v>0.17</v>
      </c>
      <c r="AO36" s="16" t="n">
        <f aca="false">AM36*AN36</f>
        <v>0</v>
      </c>
      <c r="AP36" s="51" t="n">
        <v>0</v>
      </c>
      <c r="AQ36" s="27" t="n">
        <f aca="false">32000000*(90-$AR$29)^-4</f>
        <v>0.487730528882792</v>
      </c>
      <c r="AR36" s="16" t="n">
        <f aca="false">AP36*AQ36</f>
        <v>0</v>
      </c>
      <c r="AS36" s="51" t="n">
        <v>0</v>
      </c>
      <c r="AT36" s="27" t="n">
        <f aca="false">10.5*($AU$29/(67-$AU$29))^2</f>
        <v>0</v>
      </c>
      <c r="AU36" s="16" t="n">
        <f aca="false">AS36*AT36</f>
        <v>0</v>
      </c>
      <c r="AV36" s="51" t="n">
        <v>0</v>
      </c>
      <c r="AW36" s="27" t="n">
        <f aca="false">IF($AX$29="Open",2.3,IF($AX$29="3/4 Open",2.6,IF($AX$29="1/2 Open",4.3,21)))</f>
        <v>2.3</v>
      </c>
      <c r="AX36" s="16" t="n">
        <f aca="false">AV36*AW36</f>
        <v>0</v>
      </c>
      <c r="AY36" s="51" t="n">
        <v>0</v>
      </c>
      <c r="AZ36" s="27" t="n">
        <v>4</v>
      </c>
      <c r="BA36" s="16" t="n">
        <f aca="false">AY36*AZ36</f>
        <v>0</v>
      </c>
      <c r="BB36" s="51" t="n">
        <v>0</v>
      </c>
      <c r="BC36" s="27" t="n">
        <v>1</v>
      </c>
      <c r="BD36" s="16" t="n">
        <f aca="false">BB36*BC36</f>
        <v>0</v>
      </c>
      <c r="BE36" s="51" t="n">
        <v>0</v>
      </c>
      <c r="BF36" s="27" t="n">
        <v>0.5</v>
      </c>
      <c r="BG36" s="16" t="n">
        <f aca="false">BE36*BF36</f>
        <v>0</v>
      </c>
      <c r="BH36" s="51" t="n">
        <v>0</v>
      </c>
      <c r="BI36" s="52" t="n">
        <v>0.1</v>
      </c>
      <c r="BJ36" s="27" t="n">
        <f aca="false">(1-(F36^2/BI36^2))^2</f>
        <v>0</v>
      </c>
      <c r="BK36" s="16" t="n">
        <f aca="false">BH36*BJ36</f>
        <v>0</v>
      </c>
      <c r="BL36" s="51" t="n">
        <v>0</v>
      </c>
      <c r="BM36" s="52" t="n">
        <v>0.02</v>
      </c>
      <c r="BN36" s="27" t="n">
        <f aca="false">(1/(0.59+0.41*(BM36^2/F36^2)^3)-1)^2</f>
        <v>0.48280245460255</v>
      </c>
      <c r="BO36" s="16" t="n">
        <f aca="false">BL36*BN36</f>
        <v>0</v>
      </c>
      <c r="BP36" s="51" t="n">
        <v>0</v>
      </c>
      <c r="BQ36" s="52" t="n">
        <v>10</v>
      </c>
      <c r="BR36" s="27" t="n">
        <f aca="false">IF(BQ36=10,0.065,IF(BQ36=15,0.14,IF(BQ36=20,0.26,IF(BQ36=30,0.43,IF(BQ36=45,0.52,0.62)))))</f>
        <v>0.065</v>
      </c>
      <c r="BS36" s="16" t="n">
        <f aca="false">BP36*BR36</f>
        <v>0</v>
      </c>
      <c r="BT36" s="51" t="n">
        <v>0</v>
      </c>
      <c r="BU36" s="52" t="n">
        <v>45</v>
      </c>
      <c r="BV36" s="52" t="n">
        <v>0.05</v>
      </c>
      <c r="BW36" s="38" t="n">
        <f aca="false">0.59+0.41*(BV36^2/F36^2)^3</f>
        <v>0.59640625</v>
      </c>
      <c r="BX36" s="38" t="n">
        <f aca="false">IF(BU36&lt;90,(1/BW36-1)^2*SIN(BU36),(1/BW36-1)^2)</f>
        <v>0.389659092738285</v>
      </c>
      <c r="BY36" s="16" t="n">
        <f aca="false">BT36*BX36</f>
        <v>0</v>
      </c>
      <c r="BZ36" s="51" t="n">
        <v>0</v>
      </c>
      <c r="CA36" s="52" t="n">
        <v>0.05</v>
      </c>
      <c r="CB36" s="27" t="n">
        <f aca="false">2.8*(1-(CA36/F36)^2)*((F36/CA36)^4-1)</f>
        <v>31.5</v>
      </c>
      <c r="CC36" s="16" t="n">
        <f aca="false">BZ36*CB36</f>
        <v>0</v>
      </c>
      <c r="CD36" s="52"/>
      <c r="CE36" s="14" t="n">
        <f aca="false">IF(G36=0,0,T36+W36+Z36+AC36+AF36+AI36+AL36+AO36+AR36+AU36+AX36+BA36+BD36+BG36+BK36+BO36+BS36+BY36+CC36+CD36)</f>
        <v>0</v>
      </c>
      <c r="CF36" s="27" t="n">
        <f aca="false">(CE36*D36*M36^2/2)/100000</f>
        <v>0</v>
      </c>
      <c r="CG36" s="27" t="n">
        <f aca="false">(Q36*G36/F36*D36*M36^2/2)/100000</f>
        <v>0.0186988161803705</v>
      </c>
      <c r="CH36" s="27" t="n">
        <f aca="false">(9.81*D36*H36)/100000</f>
        <v>0</v>
      </c>
      <c r="CI36" s="16" t="n">
        <f aca="false">CF36+CG36+CH36</f>
        <v>0.0186988161803705</v>
      </c>
      <c r="CJ36" s="0" t="n">
        <f aca="false">CJ35-CI36</f>
        <v>2.8994745706701</v>
      </c>
      <c r="CK36" s="47" t="n">
        <f aca="false">(CJ35-CJ36)/CJ35*100</f>
        <v>0.640771253162301</v>
      </c>
      <c r="CL36" s="0" t="n">
        <f aca="false">(CJ36*100000*$C$11/1000)/(8.314*(273.15+$C$12))</f>
        <v>3.39212984720962</v>
      </c>
      <c r="CM36" s="0" t="n">
        <f aca="false">CJ35/CJ36</f>
        <v>1.00644903610106</v>
      </c>
      <c r="CN36" s="0" t="n">
        <f aca="false">(2/($C$13+1))^(-$C$13/($C$13-1))</f>
        <v>1.89292915873785</v>
      </c>
      <c r="CO36" s="0" t="str">
        <f aca="false">IF(CM36&gt;CN36,"choked flow","ok")</f>
        <v>ok</v>
      </c>
      <c r="CQ36" s="0" t="n">
        <f aca="false">IF(CK36&gt;10,1,0)</f>
        <v>0</v>
      </c>
      <c r="CR36" s="0" t="n">
        <f aca="false">IF(CO36="ok",0,1)</f>
        <v>0</v>
      </c>
    </row>
    <row r="37" customFormat="false" ht="13.8" hidden="false" customHeight="false" outlineLevel="0" collapsed="false">
      <c r="B37" s="48" t="s">
        <v>129</v>
      </c>
      <c r="C37" s="15" t="s">
        <v>3</v>
      </c>
      <c r="D37" s="15" t="n">
        <f aca="false">CL36</f>
        <v>3.39212984720962</v>
      </c>
      <c r="E37" s="15" t="n">
        <v>0.00043</v>
      </c>
      <c r="F37" s="15" t="n">
        <v>0.1</v>
      </c>
      <c r="G37" s="15" t="n">
        <v>100</v>
      </c>
      <c r="H37" s="15" t="n">
        <v>0</v>
      </c>
      <c r="I37" s="15" t="n">
        <v>0.045</v>
      </c>
      <c r="J37" s="49" t="n">
        <f aca="false">(I37/1000)/F37</f>
        <v>0.00045</v>
      </c>
      <c r="K37" s="49" t="n">
        <f aca="false">$C$17</f>
        <v>500</v>
      </c>
      <c r="L37" s="49" t="n">
        <f aca="false">K37/D37</f>
        <v>147.400017841682</v>
      </c>
      <c r="M37" s="49" t="n">
        <f aca="false">3.54*L37/(F37*100)^2</f>
        <v>5.21796063159554</v>
      </c>
      <c r="N37" s="50" t="n">
        <f aca="false">F37*M37*D37/E37</f>
        <v>4116.27906976744</v>
      </c>
      <c r="O37" s="49" t="n">
        <f aca="false">(2.457*LN((((7/N37)^0.9+0.27*(I37/1000)/F37))^(-1)))^16</f>
        <v>2.20281827064436E+018</v>
      </c>
      <c r="P37" s="49" t="n">
        <f aca="false">(37530/N37)^16</f>
        <v>2280237365803180</v>
      </c>
      <c r="Q37" s="49" t="n">
        <f aca="false">IF(N37&lt;2000,64/N37,8*((8/N37)^12+1/(O37+P37)^1.5)^(1/12))</f>
        <v>0.0407532108745293</v>
      </c>
      <c r="R37" s="51" t="n">
        <v>0</v>
      </c>
      <c r="S37" s="27" t="n">
        <v>0.75</v>
      </c>
      <c r="T37" s="16" t="n">
        <f aca="false">R37*S37</f>
        <v>0</v>
      </c>
      <c r="U37" s="51" t="n">
        <v>0</v>
      </c>
      <c r="V37" s="27" t="n">
        <v>0.45</v>
      </c>
      <c r="W37" s="16" t="n">
        <f aca="false">U37*V37</f>
        <v>0</v>
      </c>
      <c r="X37" s="51" t="n">
        <v>0</v>
      </c>
      <c r="Y37" s="27" t="n">
        <v>0.35</v>
      </c>
      <c r="Z37" s="16" t="n">
        <f aca="false">X37*Y37</f>
        <v>0</v>
      </c>
      <c r="AA37" s="51" t="n">
        <v>0</v>
      </c>
      <c r="AB37" s="27" t="n">
        <v>0.2</v>
      </c>
      <c r="AC37" s="16" t="n">
        <f aca="false">AA37*AB37</f>
        <v>0</v>
      </c>
      <c r="AD37" s="51" t="n">
        <v>0</v>
      </c>
      <c r="AE37" s="27" t="n">
        <v>0.04</v>
      </c>
      <c r="AF37" s="16" t="n">
        <f aca="false">AD37*AE37</f>
        <v>0</v>
      </c>
      <c r="AG37" s="51" t="n">
        <v>0</v>
      </c>
      <c r="AH37" s="27" t="n">
        <f aca="false">IF($AI$29="Open",6,9.5)</f>
        <v>6</v>
      </c>
      <c r="AI37" s="16" t="n">
        <f aca="false">AG37*AH37</f>
        <v>0</v>
      </c>
      <c r="AJ37" s="51" t="n">
        <v>0</v>
      </c>
      <c r="AK37" s="27" t="n">
        <f aca="false">IF($AL$29="Open",9,IF($AL$29="3/4 Open",13,IF($AL$29="1/2 Open",36,112)))</f>
        <v>9</v>
      </c>
      <c r="AL37" s="16" t="n">
        <f aca="false">AJ37*AK37</f>
        <v>0</v>
      </c>
      <c r="AM37" s="51" t="n">
        <v>0</v>
      </c>
      <c r="AN37" s="27" t="n">
        <f aca="false">IF($AO$29="Open",0.17,IF($AO$29="3/4 Open",0.9,IF($AO$29="1/2 Open",4.5,24)))</f>
        <v>0.17</v>
      </c>
      <c r="AO37" s="16" t="n">
        <f aca="false">AM37*AN37</f>
        <v>0</v>
      </c>
      <c r="AP37" s="51" t="n">
        <v>0</v>
      </c>
      <c r="AQ37" s="27" t="n">
        <f aca="false">32000000*(90-$AR$29)^-4</f>
        <v>0.487730528882792</v>
      </c>
      <c r="AR37" s="16" t="n">
        <f aca="false">AP37*AQ37</f>
        <v>0</v>
      </c>
      <c r="AS37" s="51" t="n">
        <v>0</v>
      </c>
      <c r="AT37" s="27" t="n">
        <f aca="false">10.5*($AU$29/(67-$AU$29))^2</f>
        <v>0</v>
      </c>
      <c r="AU37" s="16" t="n">
        <f aca="false">AS37*AT37</f>
        <v>0</v>
      </c>
      <c r="AV37" s="51" t="n">
        <v>0</v>
      </c>
      <c r="AW37" s="27" t="n">
        <f aca="false">IF($AX$29="Open",2.3,IF($AX$29="3/4 Open",2.6,IF($AX$29="1/2 Open",4.3,21)))</f>
        <v>2.3</v>
      </c>
      <c r="AX37" s="16" t="n">
        <f aca="false">AV37*AW37</f>
        <v>0</v>
      </c>
      <c r="AY37" s="51" t="n">
        <v>0</v>
      </c>
      <c r="AZ37" s="27" t="n">
        <v>4</v>
      </c>
      <c r="BA37" s="16" t="n">
        <f aca="false">AY37*AZ37</f>
        <v>0</v>
      </c>
      <c r="BB37" s="51" t="n">
        <v>0</v>
      </c>
      <c r="BC37" s="27" t="n">
        <v>1</v>
      </c>
      <c r="BD37" s="16" t="n">
        <f aca="false">BB37*BC37</f>
        <v>0</v>
      </c>
      <c r="BE37" s="51" t="n">
        <v>0</v>
      </c>
      <c r="BF37" s="27" t="n">
        <v>0.5</v>
      </c>
      <c r="BG37" s="16" t="n">
        <f aca="false">BE37*BF37</f>
        <v>0</v>
      </c>
      <c r="BH37" s="51" t="n">
        <v>0</v>
      </c>
      <c r="BI37" s="52" t="n">
        <v>0.1</v>
      </c>
      <c r="BJ37" s="27" t="n">
        <f aca="false">(1-(F37^2/BI37^2))^2</f>
        <v>0</v>
      </c>
      <c r="BK37" s="16" t="n">
        <f aca="false">BH37*BJ37</f>
        <v>0</v>
      </c>
      <c r="BL37" s="51" t="n">
        <v>0</v>
      </c>
      <c r="BM37" s="52" t="n">
        <v>0.02</v>
      </c>
      <c r="BN37" s="27" t="n">
        <f aca="false">(1/(0.59+0.41*(BM37^2/F37^2)^3)-1)^2</f>
        <v>0.48280245460255</v>
      </c>
      <c r="BO37" s="16" t="n">
        <f aca="false">BL37*BN37</f>
        <v>0</v>
      </c>
      <c r="BP37" s="51" t="n">
        <v>0</v>
      </c>
      <c r="BQ37" s="52" t="n">
        <v>10</v>
      </c>
      <c r="BR37" s="27" t="n">
        <f aca="false">IF(BQ37=10,0.065,IF(BQ37=15,0.14,IF(BQ37=20,0.26,IF(BQ37=30,0.43,IF(BQ37=45,0.52,0.62)))))</f>
        <v>0.065</v>
      </c>
      <c r="BS37" s="16" t="n">
        <f aca="false">BP37*BR37</f>
        <v>0</v>
      </c>
      <c r="BT37" s="51" t="n">
        <v>0</v>
      </c>
      <c r="BU37" s="52" t="n">
        <v>45</v>
      </c>
      <c r="BV37" s="52" t="n">
        <v>0.05</v>
      </c>
      <c r="BW37" s="38" t="n">
        <f aca="false">0.59+0.41*(BV37^2/F37^2)^3</f>
        <v>0.59640625</v>
      </c>
      <c r="BX37" s="38" t="n">
        <f aca="false">IF(BU37&lt;90,(1/BW37-1)^2*SIN(BU37),(1/BW37-1)^2)</f>
        <v>0.389659092738285</v>
      </c>
      <c r="BY37" s="16" t="n">
        <f aca="false">BT37*BX37</f>
        <v>0</v>
      </c>
      <c r="BZ37" s="51" t="n">
        <v>0</v>
      </c>
      <c r="CA37" s="52" t="n">
        <v>0.06</v>
      </c>
      <c r="CB37" s="27" t="n">
        <f aca="false">2.8*(1-(CA37/F37)^2)*((F37/CA37)^4-1)</f>
        <v>12.0351604938272</v>
      </c>
      <c r="CC37" s="16" t="n">
        <f aca="false">BZ37*CB37</f>
        <v>0</v>
      </c>
      <c r="CD37" s="52"/>
      <c r="CE37" s="14" t="n">
        <f aca="false">IF(G37=0,0,T37+W37+Z37+AC37+AF37+AI37+AL37+AO37+AR37+AU37+AX37+BA37+BD37+BG37+BK37+BO37+BS37+BY37+CC37+CD37)</f>
        <v>0</v>
      </c>
      <c r="CF37" s="27" t="n">
        <f aca="false">(CE37*D37*M37^2/2)/100000</f>
        <v>0</v>
      </c>
      <c r="CG37" s="27" t="n">
        <f aca="false">(Q37*G37/F37*D37*M37^2/2)/100000</f>
        <v>0.0188194055209649</v>
      </c>
      <c r="CH37" s="27" t="n">
        <f aca="false">(9.81*D37*H37)/100000</f>
        <v>0</v>
      </c>
      <c r="CI37" s="16" t="n">
        <f aca="false">CF37+CG37+CH37</f>
        <v>0.0188194055209649</v>
      </c>
      <c r="CJ37" s="0" t="n">
        <f aca="false">CJ36-CI37</f>
        <v>2.88065516514913</v>
      </c>
      <c r="CK37" s="47" t="n">
        <f aca="false">(CJ36-CJ37)/CJ36*100</f>
        <v>0.649062616769754</v>
      </c>
      <c r="CL37" s="0" t="n">
        <f aca="false">(CJ37*100000*$C$11/1000)/(8.314*(273.15+$C$12))</f>
        <v>3.37011280045909</v>
      </c>
      <c r="CM37" s="0" t="n">
        <f aca="false">CJ36/CJ37</f>
        <v>1.00653302962071</v>
      </c>
      <c r="CN37" s="0" t="n">
        <f aca="false">(2/($C$13+1))^(-$C$13/($C$13-1))</f>
        <v>1.89292915873785</v>
      </c>
      <c r="CO37" s="0" t="str">
        <f aca="false">IF(CM37&gt;CN37,"choked flow","ok")</f>
        <v>ok</v>
      </c>
      <c r="CQ37" s="0" t="n">
        <f aca="false">IF(CK37&gt;10,1,0)</f>
        <v>0</v>
      </c>
      <c r="CR37" s="0" t="n">
        <f aca="false">IF(CO37="ok",0,1)</f>
        <v>0</v>
      </c>
    </row>
    <row r="38" customFormat="false" ht="13.8" hidden="false" customHeight="false" outlineLevel="0" collapsed="false">
      <c r="B38" s="48" t="s">
        <v>130</v>
      </c>
      <c r="C38" s="15" t="s">
        <v>3</v>
      </c>
      <c r="D38" s="15" t="n">
        <f aca="false">CL37</f>
        <v>3.37011280045909</v>
      </c>
      <c r="E38" s="15" t="n">
        <v>0.00043</v>
      </c>
      <c r="F38" s="15" t="n">
        <v>0.1</v>
      </c>
      <c r="G38" s="15" t="n">
        <v>100</v>
      </c>
      <c r="H38" s="15" t="n">
        <v>0</v>
      </c>
      <c r="I38" s="15" t="n">
        <v>0.045</v>
      </c>
      <c r="J38" s="49" t="n">
        <f aca="false">(I38/1000)/F38</f>
        <v>0.00045</v>
      </c>
      <c r="K38" s="49" t="n">
        <f aca="false">$C$17</f>
        <v>500</v>
      </c>
      <c r="L38" s="49" t="n">
        <f aca="false">K38/D38</f>
        <v>148.362986524335</v>
      </c>
      <c r="M38" s="49" t="n">
        <f aca="false">3.54*L38/(F38*100)^2</f>
        <v>5.25204972296145</v>
      </c>
      <c r="N38" s="50" t="n">
        <f aca="false">F38*M38*D38/E38</f>
        <v>4116.27906976744</v>
      </c>
      <c r="O38" s="49" t="n">
        <f aca="false">(2.457*LN((((7/N38)^0.9+0.27*(I38/1000)/F38))^(-1)))^16</f>
        <v>2.20281827064436E+018</v>
      </c>
      <c r="P38" s="49" t="n">
        <f aca="false">(37530/N38)^16</f>
        <v>2280237365803170</v>
      </c>
      <c r="Q38" s="49" t="n">
        <f aca="false">IF(N38&lt;2000,64/N38,8*((8/N38)^12+1/(O38+P38)^1.5)^(1/12))</f>
        <v>0.0407532108745293</v>
      </c>
      <c r="R38" s="51" t="n">
        <v>0</v>
      </c>
      <c r="S38" s="27" t="n">
        <v>0.75</v>
      </c>
      <c r="T38" s="16" t="n">
        <f aca="false">R38*S38</f>
        <v>0</v>
      </c>
      <c r="U38" s="51" t="n">
        <v>0</v>
      </c>
      <c r="V38" s="27" t="n">
        <v>0.45</v>
      </c>
      <c r="W38" s="16" t="n">
        <f aca="false">U38*V38</f>
        <v>0</v>
      </c>
      <c r="X38" s="51" t="n">
        <v>0</v>
      </c>
      <c r="Y38" s="27" t="n">
        <v>0.35</v>
      </c>
      <c r="Z38" s="16" t="n">
        <f aca="false">X38*Y38</f>
        <v>0</v>
      </c>
      <c r="AA38" s="51" t="n">
        <v>0</v>
      </c>
      <c r="AB38" s="27" t="n">
        <v>0.2</v>
      </c>
      <c r="AC38" s="16" t="n">
        <f aca="false">AA38*AB38</f>
        <v>0</v>
      </c>
      <c r="AD38" s="51" t="n">
        <v>0</v>
      </c>
      <c r="AE38" s="27" t="n">
        <v>0.04</v>
      </c>
      <c r="AF38" s="16" t="n">
        <f aca="false">AD38*AE38</f>
        <v>0</v>
      </c>
      <c r="AG38" s="51" t="n">
        <v>0</v>
      </c>
      <c r="AH38" s="27" t="n">
        <f aca="false">IF($AI$29="Open",6,9.5)</f>
        <v>6</v>
      </c>
      <c r="AI38" s="16" t="n">
        <f aca="false">AG38*AH38</f>
        <v>0</v>
      </c>
      <c r="AJ38" s="51" t="n">
        <v>0</v>
      </c>
      <c r="AK38" s="27" t="n">
        <f aca="false">IF($AL$29="Open",9,IF($AL$29="3/4 Open",13,IF($AL$29="1/2 Open",36,112)))</f>
        <v>9</v>
      </c>
      <c r="AL38" s="16" t="n">
        <f aca="false">AJ38*AK38</f>
        <v>0</v>
      </c>
      <c r="AM38" s="51" t="n">
        <v>0</v>
      </c>
      <c r="AN38" s="27" t="n">
        <f aca="false">IF($AO$29="Open",0.17,IF($AO$29="3/4 Open",0.9,IF($AO$29="1/2 Open",4.5,24)))</f>
        <v>0.17</v>
      </c>
      <c r="AO38" s="16" t="n">
        <f aca="false">AM38*AN38</f>
        <v>0</v>
      </c>
      <c r="AP38" s="51" t="n">
        <v>0</v>
      </c>
      <c r="AQ38" s="27" t="n">
        <f aca="false">32000000*(90-$AR$29)^-4</f>
        <v>0.487730528882792</v>
      </c>
      <c r="AR38" s="16" t="n">
        <f aca="false">AP38*AQ38</f>
        <v>0</v>
      </c>
      <c r="AS38" s="51" t="n">
        <v>0</v>
      </c>
      <c r="AT38" s="27" t="n">
        <f aca="false">10.5*($AU$29/(67-$AU$29))^2</f>
        <v>0</v>
      </c>
      <c r="AU38" s="16" t="n">
        <f aca="false">AS38*AT38</f>
        <v>0</v>
      </c>
      <c r="AV38" s="51" t="n">
        <v>0</v>
      </c>
      <c r="AW38" s="27" t="n">
        <f aca="false">IF($AX$29="Open",2.3,IF($AX$29="3/4 Open",2.6,IF($AX$29="1/2 Open",4.3,21)))</f>
        <v>2.3</v>
      </c>
      <c r="AX38" s="16" t="n">
        <f aca="false">AV38*AW38</f>
        <v>0</v>
      </c>
      <c r="AY38" s="51" t="n">
        <v>0</v>
      </c>
      <c r="AZ38" s="27" t="n">
        <v>4</v>
      </c>
      <c r="BA38" s="16" t="n">
        <f aca="false">AY38*AZ38</f>
        <v>0</v>
      </c>
      <c r="BB38" s="51" t="n">
        <v>0</v>
      </c>
      <c r="BC38" s="27" t="n">
        <v>1</v>
      </c>
      <c r="BD38" s="16" t="n">
        <f aca="false">BB38*BC38</f>
        <v>0</v>
      </c>
      <c r="BE38" s="51" t="n">
        <v>0</v>
      </c>
      <c r="BF38" s="27" t="n">
        <v>0.5</v>
      </c>
      <c r="BG38" s="16" t="n">
        <f aca="false">BE38*BF38</f>
        <v>0</v>
      </c>
      <c r="BH38" s="51" t="n">
        <v>0</v>
      </c>
      <c r="BI38" s="52" t="n">
        <v>0.1</v>
      </c>
      <c r="BJ38" s="27" t="n">
        <f aca="false">(1-(F38^2/BI38^2))^2</f>
        <v>0</v>
      </c>
      <c r="BK38" s="16" t="n">
        <f aca="false">BH38*BJ38</f>
        <v>0</v>
      </c>
      <c r="BL38" s="51" t="n">
        <v>0</v>
      </c>
      <c r="BM38" s="52" t="n">
        <v>0.02</v>
      </c>
      <c r="BN38" s="27" t="n">
        <f aca="false">(1/(0.59+0.41*(BM38^2/F38^2)^3)-1)^2</f>
        <v>0.48280245460255</v>
      </c>
      <c r="BO38" s="16" t="n">
        <f aca="false">BL38*BN38</f>
        <v>0</v>
      </c>
      <c r="BP38" s="51" t="n">
        <v>0</v>
      </c>
      <c r="BQ38" s="52" t="n">
        <v>10</v>
      </c>
      <c r="BR38" s="27" t="n">
        <f aca="false">IF(BQ38=10,0.065,IF(BQ38=15,0.14,IF(BQ38=20,0.26,IF(BQ38=30,0.43,IF(BQ38=45,0.52,0.62)))))</f>
        <v>0.065</v>
      </c>
      <c r="BS38" s="16" t="n">
        <f aca="false">BP38*BR38</f>
        <v>0</v>
      </c>
      <c r="BT38" s="51" t="n">
        <v>0</v>
      </c>
      <c r="BU38" s="52" t="n">
        <v>45</v>
      </c>
      <c r="BV38" s="52" t="n">
        <v>0.05</v>
      </c>
      <c r="BW38" s="38" t="n">
        <f aca="false">0.59+0.41*(BV38^2/F38^2)^3</f>
        <v>0.59640625</v>
      </c>
      <c r="BX38" s="38" t="n">
        <f aca="false">IF(BU38&lt;90,(1/BW38-1)^2*SIN(BU38),(1/BW38-1)^2)</f>
        <v>0.389659092738285</v>
      </c>
      <c r="BY38" s="16" t="n">
        <f aca="false">BT38*BX38</f>
        <v>0</v>
      </c>
      <c r="BZ38" s="51" t="n">
        <v>0</v>
      </c>
      <c r="CA38" s="52" t="n">
        <v>0.07</v>
      </c>
      <c r="CB38" s="27" t="n">
        <f aca="false">2.8*(1-(CA38/F38)^2)*((F38/CA38)^4-1)</f>
        <v>4.51952186588921</v>
      </c>
      <c r="CC38" s="16" t="n">
        <f aca="false">BZ38*CB38</f>
        <v>0</v>
      </c>
      <c r="CD38" s="52"/>
      <c r="CE38" s="14" t="n">
        <f aca="false">IF(G38=0,0,T38+W38+Z38+AC38+AF38+AI38+AL38+AO38+AR38+AU38+AX38+BA38+BD38+BG38+BK38+BO38+BS38+BY38+CC38+CD38)</f>
        <v>0</v>
      </c>
      <c r="CF38" s="27" t="n">
        <f aca="false">(CE38*D38*M38^2/2)/100000</f>
        <v>0</v>
      </c>
      <c r="CG38" s="27" t="n">
        <f aca="false">(Q38*G38/F38*D38*M38^2/2)/100000</f>
        <v>0.0189423532546774</v>
      </c>
      <c r="CH38" s="27" t="n">
        <f aca="false">(9.81*D38*H38)/100000</f>
        <v>0</v>
      </c>
      <c r="CI38" s="16" t="n">
        <f aca="false">CF38+CG38+CH38</f>
        <v>0.0189423532546774</v>
      </c>
      <c r="CJ38" s="0" t="n">
        <f aca="false">CJ37-CI38</f>
        <v>2.86171281189446</v>
      </c>
      <c r="CK38" s="47" t="n">
        <f aca="false">(CJ37-CJ38)/CJ37*100</f>
        <v>0.65757100967331</v>
      </c>
      <c r="CL38" s="0" t="n">
        <f aca="false">(CJ38*100000*$C$11/1000)/(8.314*(273.15+$C$12))</f>
        <v>3.34795191568998</v>
      </c>
      <c r="CM38" s="0" t="n">
        <f aca="false">CJ37/CJ38</f>
        <v>1.00661923627554</v>
      </c>
      <c r="CN38" s="0" t="n">
        <f aca="false">(2/($C$13+1))^(-$C$13/($C$13-1))</f>
        <v>1.89292915873785</v>
      </c>
      <c r="CO38" s="0" t="str">
        <f aca="false">IF(CM38&gt;CN38,"choked flow","ok")</f>
        <v>ok</v>
      </c>
      <c r="CQ38" s="0" t="n">
        <f aca="false">IF(CK38&gt;10,1,0)</f>
        <v>0</v>
      </c>
      <c r="CR38" s="0" t="n">
        <f aca="false">IF(CO38="ok",0,1)</f>
        <v>0</v>
      </c>
    </row>
    <row r="39" customFormat="false" ht="13.8" hidden="false" customHeight="false" outlineLevel="0" collapsed="false">
      <c r="B39" s="48" t="s">
        <v>131</v>
      </c>
      <c r="C39" s="15" t="s">
        <v>3</v>
      </c>
      <c r="D39" s="15" t="n">
        <f aca="false">CL38</f>
        <v>3.34795191568998</v>
      </c>
      <c r="E39" s="15" t="n">
        <v>0.00043</v>
      </c>
      <c r="F39" s="15" t="n">
        <v>0.1</v>
      </c>
      <c r="G39" s="15" t="n">
        <v>100</v>
      </c>
      <c r="H39" s="15" t="n">
        <v>0</v>
      </c>
      <c r="I39" s="15" t="n">
        <v>0.045</v>
      </c>
      <c r="J39" s="49" t="n">
        <f aca="false">(I39/1000)/F39</f>
        <v>0.00045</v>
      </c>
      <c r="K39" s="49" t="n">
        <f aca="false">$C$17</f>
        <v>500</v>
      </c>
      <c r="L39" s="49" t="n">
        <f aca="false">K39/D39</f>
        <v>149.345036186684</v>
      </c>
      <c r="M39" s="49" t="n">
        <f aca="false">3.54*L39/(F39*100)^2</f>
        <v>5.28681428100863</v>
      </c>
      <c r="N39" s="50" t="n">
        <f aca="false">F39*M39*D39/E39</f>
        <v>4116.27906976744</v>
      </c>
      <c r="O39" s="49" t="n">
        <f aca="false">(2.457*LN((((7/N39)^0.9+0.27*(I39/1000)/F39))^(-1)))^16</f>
        <v>2.20281827064436E+018</v>
      </c>
      <c r="P39" s="49" t="n">
        <f aca="false">(37530/N39)^16</f>
        <v>2280237365803180</v>
      </c>
      <c r="Q39" s="49" t="n">
        <f aca="false">IF(N39&lt;2000,64/N39,8*((8/N39)^12+1/(O39+P39)^1.5)^(1/12))</f>
        <v>0.0407532108745293</v>
      </c>
      <c r="R39" s="51" t="n">
        <v>0</v>
      </c>
      <c r="S39" s="27" t="n">
        <v>0.75</v>
      </c>
      <c r="T39" s="16" t="n">
        <f aca="false">R39*S39</f>
        <v>0</v>
      </c>
      <c r="U39" s="51" t="n">
        <v>0</v>
      </c>
      <c r="V39" s="27" t="n">
        <v>0.45</v>
      </c>
      <c r="W39" s="16" t="n">
        <f aca="false">U39*V39</f>
        <v>0</v>
      </c>
      <c r="X39" s="51" t="n">
        <v>0</v>
      </c>
      <c r="Y39" s="27" t="n">
        <v>0.35</v>
      </c>
      <c r="Z39" s="16" t="n">
        <f aca="false">X39*Y39</f>
        <v>0</v>
      </c>
      <c r="AA39" s="51" t="n">
        <v>0</v>
      </c>
      <c r="AB39" s="27" t="n">
        <v>0.2</v>
      </c>
      <c r="AC39" s="16" t="n">
        <f aca="false">AA39*AB39</f>
        <v>0</v>
      </c>
      <c r="AD39" s="51" t="n">
        <v>0</v>
      </c>
      <c r="AE39" s="27" t="n">
        <v>0.04</v>
      </c>
      <c r="AF39" s="16" t="n">
        <f aca="false">AD39*AE39</f>
        <v>0</v>
      </c>
      <c r="AG39" s="51" t="n">
        <v>0</v>
      </c>
      <c r="AH39" s="27" t="n">
        <f aca="false">IF($AI$29="Open",6,9.5)</f>
        <v>6</v>
      </c>
      <c r="AI39" s="16" t="n">
        <f aca="false">AG39*AH39</f>
        <v>0</v>
      </c>
      <c r="AJ39" s="51" t="n">
        <v>0</v>
      </c>
      <c r="AK39" s="27" t="n">
        <f aca="false">IF($AL$29="Open",9,IF($AL$29="3/4 Open",13,IF($AL$29="1/2 Open",36,112)))</f>
        <v>9</v>
      </c>
      <c r="AL39" s="16" t="n">
        <f aca="false">AJ39*AK39</f>
        <v>0</v>
      </c>
      <c r="AM39" s="51" t="n">
        <v>0</v>
      </c>
      <c r="AN39" s="27" t="n">
        <f aca="false">IF($AO$29="Open",0.17,IF($AO$29="3/4 Open",0.9,IF($AO$29="1/2 Open",4.5,24)))</f>
        <v>0.17</v>
      </c>
      <c r="AO39" s="16" t="n">
        <f aca="false">AM39*AN39</f>
        <v>0</v>
      </c>
      <c r="AP39" s="51" t="n">
        <v>0</v>
      </c>
      <c r="AQ39" s="27" t="n">
        <f aca="false">32000000*(90-$AR$29)^-4</f>
        <v>0.487730528882792</v>
      </c>
      <c r="AR39" s="16" t="n">
        <f aca="false">AP39*AQ39</f>
        <v>0</v>
      </c>
      <c r="AS39" s="51" t="n">
        <v>0</v>
      </c>
      <c r="AT39" s="27" t="n">
        <f aca="false">10.5*($AU$29/(67-$AU$29))^2</f>
        <v>0</v>
      </c>
      <c r="AU39" s="16" t="n">
        <f aca="false">AS39*AT39</f>
        <v>0</v>
      </c>
      <c r="AV39" s="51" t="n">
        <v>0</v>
      </c>
      <c r="AW39" s="27" t="n">
        <f aca="false">IF($AX$29="Open",2.3,IF($AX$29="3/4 Open",2.6,IF($AX$29="1/2 Open",4.3,21)))</f>
        <v>2.3</v>
      </c>
      <c r="AX39" s="16" t="n">
        <f aca="false">AV39*AW39</f>
        <v>0</v>
      </c>
      <c r="AY39" s="51" t="n">
        <v>0</v>
      </c>
      <c r="AZ39" s="27" t="n">
        <v>4</v>
      </c>
      <c r="BA39" s="16" t="n">
        <f aca="false">AY39*AZ39</f>
        <v>0</v>
      </c>
      <c r="BB39" s="51" t="n">
        <v>0</v>
      </c>
      <c r="BC39" s="27" t="n">
        <v>1</v>
      </c>
      <c r="BD39" s="16" t="n">
        <f aca="false">BB39*BC39</f>
        <v>0</v>
      </c>
      <c r="BE39" s="51" t="n">
        <v>0</v>
      </c>
      <c r="BF39" s="27" t="n">
        <v>0.5</v>
      </c>
      <c r="BG39" s="16" t="n">
        <f aca="false">BE39*BF39</f>
        <v>0</v>
      </c>
      <c r="BH39" s="51" t="n">
        <v>0</v>
      </c>
      <c r="BI39" s="52" t="n">
        <v>0.1</v>
      </c>
      <c r="BJ39" s="27" t="n">
        <f aca="false">(1-(F39^2/BI39^2))^2</f>
        <v>0</v>
      </c>
      <c r="BK39" s="16" t="n">
        <f aca="false">BH39*BJ39</f>
        <v>0</v>
      </c>
      <c r="BL39" s="51" t="n">
        <v>0</v>
      </c>
      <c r="BM39" s="52" t="n">
        <v>0.02</v>
      </c>
      <c r="BN39" s="27" t="n">
        <f aca="false">(1/(0.59+0.41*(BM39^2/F39^2)^3)-1)^2</f>
        <v>0.48280245460255</v>
      </c>
      <c r="BO39" s="16" t="n">
        <f aca="false">BL39*BN39</f>
        <v>0</v>
      </c>
      <c r="BP39" s="51" t="n">
        <v>0</v>
      </c>
      <c r="BQ39" s="52" t="n">
        <v>10</v>
      </c>
      <c r="BR39" s="27" t="n">
        <f aca="false">IF(BQ39=10,0.065,IF(BQ39=15,0.14,IF(BQ39=20,0.26,IF(BQ39=30,0.43,IF(BQ39=45,0.52,0.62)))))</f>
        <v>0.065</v>
      </c>
      <c r="BS39" s="16" t="n">
        <f aca="false">BP39*BR39</f>
        <v>0</v>
      </c>
      <c r="BT39" s="51" t="n">
        <v>0</v>
      </c>
      <c r="BU39" s="52" t="n">
        <v>45</v>
      </c>
      <c r="BV39" s="52" t="n">
        <v>0.05</v>
      </c>
      <c r="BW39" s="38" t="n">
        <f aca="false">0.59+0.41*(BV39^2/F39^2)^3</f>
        <v>0.59640625</v>
      </c>
      <c r="BX39" s="38" t="n">
        <f aca="false">IF(BU39&lt;90,(1/BW39-1)^2*SIN(BU39),(1/BW39-1)^2)</f>
        <v>0.389659092738285</v>
      </c>
      <c r="BY39" s="16" t="n">
        <f aca="false">BT39*BX39</f>
        <v>0</v>
      </c>
      <c r="BZ39" s="51" t="n">
        <v>0</v>
      </c>
      <c r="CA39" s="52" t="n">
        <v>0.08</v>
      </c>
      <c r="CB39" s="27" t="n">
        <f aca="false">2.8*(1-(CA39/F39)^2)*((F39/CA39)^4-1)</f>
        <v>1.4529375</v>
      </c>
      <c r="CC39" s="16" t="n">
        <f aca="false">BZ39*CB39</f>
        <v>0</v>
      </c>
      <c r="CD39" s="52"/>
      <c r="CE39" s="14" t="n">
        <f aca="false">IF(G39=0,0,T39+W39+Z39+AC39+AF39+AI39+AL39+AO39+AR39+AU39+AX39+BA39+BD39+BG39+BK39+BO39+BS39+BY39+CC39+CD39)</f>
        <v>0</v>
      </c>
      <c r="CF39" s="27" t="n">
        <f aca="false">(CE39*D39*M39^2/2)/100000</f>
        <v>0</v>
      </c>
      <c r="CG39" s="27" t="n">
        <f aca="false">(Q39*G39/F39*D39*M39^2/2)/100000</f>
        <v>0.0190677371664849</v>
      </c>
      <c r="CH39" s="27" t="n">
        <f aca="false">(9.81*D39*H39)/100000</f>
        <v>0</v>
      </c>
      <c r="CI39" s="16" t="n">
        <f aca="false">CF39+CG39+CH39</f>
        <v>0.0190677371664849</v>
      </c>
      <c r="CJ39" s="0" t="n">
        <f aca="false">CJ38-CI39</f>
        <v>2.84264507472797</v>
      </c>
      <c r="CK39" s="47" t="n">
        <f aca="false">(CJ38-CJ39)/CJ38*100</f>
        <v>0.666305056441427</v>
      </c>
      <c r="CL39" s="0" t="n">
        <f aca="false">(CJ39*100000*$C$11/1000)/(8.314*(273.15+$C$12))</f>
        <v>3.32564434278851</v>
      </c>
      <c r="CM39" s="0" t="n">
        <f aca="false">CJ38/CJ39</f>
        <v>1.0067077446059</v>
      </c>
      <c r="CN39" s="0" t="n">
        <f aca="false">(2/($C$13+1))^(-$C$13/($C$13-1))</f>
        <v>1.89292915873785</v>
      </c>
      <c r="CO39" s="0" t="str">
        <f aca="false">IF(CM39&gt;CN39,"choked flow","ok")</f>
        <v>ok</v>
      </c>
      <c r="CQ39" s="0" t="n">
        <f aca="false">IF(CK39&gt;10,1,0)</f>
        <v>0</v>
      </c>
      <c r="CR39" s="0" t="n">
        <f aca="false">IF(CO39="ok",0,1)</f>
        <v>0</v>
      </c>
    </row>
    <row r="40" customFormat="false" ht="13.8" hidden="false" customHeight="false" outlineLevel="0" collapsed="false">
      <c r="B40" s="53" t="s">
        <v>132</v>
      </c>
      <c r="C40" s="54" t="s">
        <v>3</v>
      </c>
      <c r="D40" s="54" t="n">
        <f aca="false">CL39</f>
        <v>3.32564434278851</v>
      </c>
      <c r="E40" s="54" t="n">
        <v>0.00043</v>
      </c>
      <c r="F40" s="54" t="n">
        <v>0.1</v>
      </c>
      <c r="G40" s="54" t="n">
        <v>100</v>
      </c>
      <c r="H40" s="54" t="n">
        <v>0</v>
      </c>
      <c r="I40" s="54" t="n">
        <v>0.045</v>
      </c>
      <c r="J40" s="18" t="n">
        <f aca="false">(I40/1000)/F40</f>
        <v>0.00045</v>
      </c>
      <c r="K40" s="18" t="n">
        <f aca="false">$C$17</f>
        <v>500</v>
      </c>
      <c r="L40" s="18" t="n">
        <f aca="false">K40/D40</f>
        <v>150.346804547583</v>
      </c>
      <c r="M40" s="18" t="n">
        <f aca="false">3.54*L40/(F40*100)^2</f>
        <v>5.32227688098444</v>
      </c>
      <c r="N40" s="55" t="n">
        <f aca="false">F40*M40*D40/E40</f>
        <v>4116.27906976744</v>
      </c>
      <c r="O40" s="18" t="n">
        <f aca="false">(2.457*LN((((7/N40)^0.9+0.27*(I40/1000)/F40))^(-1)))^16</f>
        <v>2.20281827064436E+018</v>
      </c>
      <c r="P40" s="18" t="n">
        <f aca="false">(37530/N40)^16</f>
        <v>2280237365803180</v>
      </c>
      <c r="Q40" s="18" t="n">
        <f aca="false">IF(N40&lt;2000,64/N40,8*((8/N40)^12+1/(O40+P40)^1.5)^(1/12))</f>
        <v>0.0407532108745293</v>
      </c>
      <c r="R40" s="56" t="n">
        <v>0</v>
      </c>
      <c r="S40" s="57" t="n">
        <v>0.75</v>
      </c>
      <c r="T40" s="19" t="n">
        <f aca="false">R40*S40</f>
        <v>0</v>
      </c>
      <c r="U40" s="56" t="n">
        <v>0</v>
      </c>
      <c r="V40" s="57" t="n">
        <v>0.45</v>
      </c>
      <c r="W40" s="19" t="n">
        <f aca="false">U40*V40</f>
        <v>0</v>
      </c>
      <c r="X40" s="56" t="n">
        <v>0</v>
      </c>
      <c r="Y40" s="57" t="n">
        <v>0.35</v>
      </c>
      <c r="Z40" s="19" t="n">
        <f aca="false">X40*Y40</f>
        <v>0</v>
      </c>
      <c r="AA40" s="56" t="n">
        <v>0</v>
      </c>
      <c r="AB40" s="57" t="n">
        <v>0.2</v>
      </c>
      <c r="AC40" s="19" t="n">
        <f aca="false">AA40*AB40</f>
        <v>0</v>
      </c>
      <c r="AD40" s="56" t="n">
        <v>0</v>
      </c>
      <c r="AE40" s="57" t="n">
        <v>0.04</v>
      </c>
      <c r="AF40" s="19" t="n">
        <f aca="false">AD40*AE40</f>
        <v>0</v>
      </c>
      <c r="AG40" s="56" t="n">
        <v>0</v>
      </c>
      <c r="AH40" s="57" t="n">
        <f aca="false">IF($AI$29="Open",6,9.5)</f>
        <v>6</v>
      </c>
      <c r="AI40" s="19" t="n">
        <f aca="false">AG40*AH40</f>
        <v>0</v>
      </c>
      <c r="AJ40" s="56" t="n">
        <v>0</v>
      </c>
      <c r="AK40" s="57" t="n">
        <f aca="false">IF($AL$29="Open",9,IF($AL$29="3/4 Open",13,IF($AL$29="1/2 Open",36,112)))</f>
        <v>9</v>
      </c>
      <c r="AL40" s="19" t="n">
        <f aca="false">AJ40*AK40</f>
        <v>0</v>
      </c>
      <c r="AM40" s="56" t="n">
        <v>0</v>
      </c>
      <c r="AN40" s="57" t="n">
        <f aca="false">IF($AO$29="Open",0.17,IF($AO$29="3/4 Open",0.9,IF($AO$29="1/2 Open",4.5,24)))</f>
        <v>0.17</v>
      </c>
      <c r="AO40" s="19" t="n">
        <f aca="false">AM40*AN40</f>
        <v>0</v>
      </c>
      <c r="AP40" s="56" t="n">
        <v>0</v>
      </c>
      <c r="AQ40" s="57" t="n">
        <f aca="false">32000000*(90-$AR$29)^-4</f>
        <v>0.487730528882792</v>
      </c>
      <c r="AR40" s="19" t="n">
        <f aca="false">AP40*AQ40</f>
        <v>0</v>
      </c>
      <c r="AS40" s="56" t="n">
        <v>0</v>
      </c>
      <c r="AT40" s="57" t="n">
        <f aca="false">10.5*($AU$29/(67-$AU$29))^2</f>
        <v>0</v>
      </c>
      <c r="AU40" s="19" t="n">
        <f aca="false">AS40*AT40</f>
        <v>0</v>
      </c>
      <c r="AV40" s="56" t="n">
        <v>0</v>
      </c>
      <c r="AW40" s="57" t="n">
        <f aca="false">IF($AX$29="Open",2.3,IF($AX$29="3/4 Open",2.6,IF($AX$29="1/2 Open",4.3,21)))</f>
        <v>2.3</v>
      </c>
      <c r="AX40" s="19" t="n">
        <f aca="false">AV40*AW40</f>
        <v>0</v>
      </c>
      <c r="AY40" s="56" t="n">
        <v>0</v>
      </c>
      <c r="AZ40" s="57" t="n">
        <v>4</v>
      </c>
      <c r="BA40" s="19" t="n">
        <f aca="false">AY40*AZ40</f>
        <v>0</v>
      </c>
      <c r="BB40" s="56" t="n">
        <v>0</v>
      </c>
      <c r="BC40" s="57" t="n">
        <v>1</v>
      </c>
      <c r="BD40" s="19" t="n">
        <f aca="false">BB40*BC40</f>
        <v>0</v>
      </c>
      <c r="BE40" s="56" t="n">
        <v>0</v>
      </c>
      <c r="BF40" s="57" t="n">
        <v>0.5</v>
      </c>
      <c r="BG40" s="19" t="n">
        <f aca="false">BE40*BF40</f>
        <v>0</v>
      </c>
      <c r="BH40" s="56" t="n">
        <v>0</v>
      </c>
      <c r="BI40" s="58" t="n">
        <v>0.1</v>
      </c>
      <c r="BJ40" s="57" t="n">
        <f aca="false">(1-(F40^2/BI40^2))^2</f>
        <v>0</v>
      </c>
      <c r="BK40" s="19" t="n">
        <f aca="false">BH40*BJ40</f>
        <v>0</v>
      </c>
      <c r="BL40" s="56" t="n">
        <v>0</v>
      </c>
      <c r="BM40" s="58" t="n">
        <v>0.02</v>
      </c>
      <c r="BN40" s="57" t="n">
        <f aca="false">(1/(0.59+0.41*(BM40^2/F40^2)^3)-1)^2</f>
        <v>0.48280245460255</v>
      </c>
      <c r="BO40" s="19" t="n">
        <f aca="false">BL40*BN40</f>
        <v>0</v>
      </c>
      <c r="BP40" s="56" t="n">
        <v>0</v>
      </c>
      <c r="BQ40" s="58" t="n">
        <v>10</v>
      </c>
      <c r="BR40" s="57" t="n">
        <f aca="false">IF(BQ40=10,0.065,IF(BQ40=15,0.14,IF(BQ40=20,0.26,IF(BQ40=30,0.43,IF(BQ40=45,0.52,0.62)))))</f>
        <v>0.065</v>
      </c>
      <c r="BS40" s="19" t="n">
        <f aca="false">BP40*BR40</f>
        <v>0</v>
      </c>
      <c r="BT40" s="56" t="n">
        <v>0</v>
      </c>
      <c r="BU40" s="58" t="n">
        <v>45</v>
      </c>
      <c r="BV40" s="58" t="n">
        <v>0.05</v>
      </c>
      <c r="BW40" s="57" t="n">
        <f aca="false">0.59+0.41*(BV40^2/F40^2)^3</f>
        <v>0.59640625</v>
      </c>
      <c r="BX40" s="57" t="n">
        <f aca="false">IF(BU40&lt;90,(1/BW40-1)^2*SIN(BU40),(1/BW40-1)^2)</f>
        <v>0.389659092738285</v>
      </c>
      <c r="BY40" s="19" t="n">
        <f aca="false">BT40*BX40</f>
        <v>0</v>
      </c>
      <c r="BZ40" s="56" t="n">
        <v>0</v>
      </c>
      <c r="CA40" s="58" t="n">
        <v>0.09</v>
      </c>
      <c r="CB40" s="57" t="n">
        <f aca="false">2.8*(1-(CA40/F40)^2)*((F40/CA40)^4-1)</f>
        <v>0.278852004267642</v>
      </c>
      <c r="CC40" s="19" t="n">
        <f aca="false">BZ40*CB40</f>
        <v>0</v>
      </c>
      <c r="CD40" s="58"/>
      <c r="CE40" s="17" t="n">
        <f aca="false">IF(G40=0,0,T40+W40+Z40+AC40+AF40+AI40+AL40+AO40+AR40+AU40+AX40+BA40+BD40+BG40+BK40+BO40+BS40+BY40+CC40+CD40)</f>
        <v>0</v>
      </c>
      <c r="CF40" s="57" t="n">
        <f aca="false">(CE40*D40*M40^2/2)/100000</f>
        <v>0</v>
      </c>
      <c r="CG40" s="57" t="n">
        <f aca="false">(Q40*G40/F40*D40*M40^2/2)/100000</f>
        <v>0.0191956386776101</v>
      </c>
      <c r="CH40" s="57" t="n">
        <f aca="false">(9.81*D40*H40)/100000</f>
        <v>0</v>
      </c>
      <c r="CI40" s="19" t="n">
        <f aca="false">CF40+CG40+CH40</f>
        <v>0.0191956386776101</v>
      </c>
      <c r="CJ40" s="0" t="n">
        <f aca="false">CJ39-CI40</f>
        <v>2.82344943605036</v>
      </c>
      <c r="CK40" s="47" t="n">
        <f aca="false">(CJ39-CJ40)/CJ39*100</f>
        <v>0.675273844359452</v>
      </c>
      <c r="CL40" s="0" t="n">
        <f aca="false">(CJ40*100000*$C$11/1000)/(8.314*(273.15+$C$12))</f>
        <v>3.30318713638524</v>
      </c>
      <c r="CM40" s="0" t="n">
        <f aca="false">CJ39/CJ40</f>
        <v>1.00679864793487</v>
      </c>
      <c r="CN40" s="0" t="n">
        <f aca="false">(2/($C$13+1))^(-$C$13/($C$13-1))</f>
        <v>1.89292915873785</v>
      </c>
      <c r="CO40" s="0" t="str">
        <f aca="false">IF(CM40&gt;CN40,"choked flow","ok")</f>
        <v>ok</v>
      </c>
      <c r="CQ40" s="0" t="n">
        <f aca="false">IF(CK40&gt;10,1,0)</f>
        <v>0</v>
      </c>
      <c r="CR40" s="0" t="n">
        <f aca="false">IF(CO40="ok",0,1)</f>
        <v>0</v>
      </c>
    </row>
    <row r="41" customFormat="false" ht="13.8" hidden="false" customHeight="false" outlineLevel="0" collapsed="false">
      <c r="CD41" s="59"/>
      <c r="CF41" s="38" t="n">
        <f aca="false">SUM(CF31:CF40)</f>
        <v>0</v>
      </c>
      <c r="CG41" s="38" t="n">
        <f aca="false">SUM(CG31:CG40)</f>
        <v>0.186550563949638</v>
      </c>
      <c r="CH41" s="38" t="n">
        <f aca="false">SUM(CH31:CH40)</f>
        <v>0</v>
      </c>
      <c r="CI41" s="60" t="n">
        <f aca="false">SUM(CI31:CI40)</f>
        <v>0.186550563949638</v>
      </c>
      <c r="CQ41" s="0" t="n">
        <f aca="false">SUM(CQ31:CR40)</f>
        <v>0</v>
      </c>
    </row>
    <row r="42" customFormat="false" ht="12.8" hidden="false" customHeight="false" outlineLevel="0" collapsed="false">
      <c r="B42" s="61" t="s">
        <v>133</v>
      </c>
    </row>
    <row r="43" customFormat="false" ht="12.8" hidden="false" customHeight="false" outlineLevel="0" collapsed="false">
      <c r="B43" s="62" t="s">
        <v>134</v>
      </c>
      <c r="AX43" s="0" t="n">
        <f aca="false">DEGREES(PI()/2)</f>
        <v>90</v>
      </c>
    </row>
    <row r="44" customFormat="false" ht="12.8" hidden="false" customHeight="false" outlineLevel="0" collapsed="false">
      <c r="B44" s="62" t="s">
        <v>135</v>
      </c>
    </row>
    <row r="45" customFormat="false" ht="12.8" hidden="false" customHeight="false" outlineLevel="0" collapsed="false">
      <c r="B45" s="62" t="s">
        <v>136</v>
      </c>
    </row>
    <row r="47" customFormat="false" ht="12.8" hidden="false" customHeight="false" outlineLevel="0" collapsed="false">
      <c r="B47" s="63" t="s">
        <v>137</v>
      </c>
      <c r="C47" s="63"/>
      <c r="D47" s="63"/>
      <c r="E47" s="63"/>
      <c r="F47" s="63"/>
      <c r="G47" s="63"/>
      <c r="H47" s="63"/>
      <c r="I47" s="63"/>
      <c r="J47" s="63"/>
    </row>
    <row r="48" customFormat="false" ht="12.8" hidden="false" customHeight="false" outlineLevel="0" collapsed="false">
      <c r="B48" s="63"/>
      <c r="C48" s="63"/>
      <c r="D48" s="63"/>
      <c r="E48" s="63"/>
      <c r="F48" s="63"/>
      <c r="G48" s="63"/>
      <c r="H48" s="63"/>
      <c r="I48" s="63"/>
      <c r="J48" s="63"/>
    </row>
    <row r="49" customFormat="false" ht="12.8" hidden="false" customHeight="false" outlineLevel="0" collapsed="false">
      <c r="B49" s="64" t="s">
        <v>138</v>
      </c>
      <c r="C49" s="63"/>
      <c r="D49" s="63"/>
      <c r="E49" s="63"/>
      <c r="F49" s="63"/>
      <c r="G49" s="63"/>
      <c r="H49" s="63"/>
      <c r="I49" s="63"/>
      <c r="J49" s="63"/>
    </row>
    <row r="50" customFormat="false" ht="12.8" hidden="false" customHeight="false" outlineLevel="0" collapsed="false">
      <c r="B50" s="63"/>
      <c r="C50" s="63"/>
      <c r="D50" s="63"/>
      <c r="E50" s="63"/>
      <c r="F50" s="63"/>
      <c r="G50" s="63"/>
      <c r="H50" s="63"/>
      <c r="I50" s="63"/>
      <c r="J50" s="63"/>
    </row>
    <row r="51" customFormat="false" ht="45.7" hidden="false" customHeight="true" outlineLevel="0" collapsed="false">
      <c r="B51" s="65" t="s">
        <v>139</v>
      </c>
      <c r="C51" s="65"/>
      <c r="D51" s="65"/>
      <c r="E51" s="65"/>
      <c r="F51" s="65"/>
      <c r="G51" s="65"/>
      <c r="H51" s="65"/>
      <c r="I51" s="65"/>
      <c r="J51" s="65"/>
    </row>
    <row r="53" s="2" customFormat="true" ht="12.8" hidden="false" customHeight="false" outlineLevel="0" collapsed="false">
      <c r="A53" s="1" t="s">
        <v>0</v>
      </c>
    </row>
  </sheetData>
  <sheetProtection sheet="true" password="c80a" objects="true" scenarios="true"/>
  <mergeCells count="8">
    <mergeCell ref="J4:J5"/>
    <mergeCell ref="K4:K5"/>
    <mergeCell ref="F10:H16"/>
    <mergeCell ref="F19:H22"/>
    <mergeCell ref="CD19:CD29"/>
    <mergeCell ref="O28:Q28"/>
    <mergeCell ref="CM30:CO30"/>
    <mergeCell ref="B51:J51"/>
  </mergeCells>
  <conditionalFormatting sqref="CK31:CK40">
    <cfRule type="cellIs" priority="2" operator="greaterThan" aboveAverage="0" equalAverage="0" bottom="0" percent="0" rank="0" text="" dxfId="0">
      <formula>10</formula>
    </cfRule>
  </conditionalFormatting>
  <conditionalFormatting sqref="R31:R40 U31:U40 X31:X40 AA31:AA40 AD31:AD40 AG31:AG40 AJ31:AJ40 AM31:AM40 AP31:AP40 AS31:AS40 AV31:AV40 AY31:AY40 BB31:BB40 BE31:BE40 BH31:BI40 CD31:CD40 BL31:BM40 BP31:BQ40 BT31:BV40 BZ31:CA40">
    <cfRule type="cellIs" priority="3" operator="greaterThan" aboveAverage="0" equalAverage="0" bottom="0" percent="0" rank="0" text="" dxfId="1">
      <formula>0</formula>
    </cfRule>
    <cfRule type="cellIs" priority="4" operator="equal" aboveAverage="0" equalAverage="0" bottom="0" percent="0" rank="0" text="" dxfId="2">
      <formula>0</formula>
    </cfRule>
  </conditionalFormatting>
  <conditionalFormatting sqref="G18">
    <cfRule type="cellIs" priority="5" operator="equal" aboveAverage="0" equalAverage="0" bottom="0" percent="0" rank="0" text="" dxfId="3">
      <formula>"ok"</formula>
    </cfRule>
  </conditionalFormatting>
  <dataValidations count="2">
    <dataValidation allowBlank="true" errorStyle="stop" operator="equal" showDropDown="false" showErrorMessage="true" showInputMessage="true" sqref="AI29" type="list">
      <formula1>$AG$5:$AG$6</formula1>
      <formula2>0</formula2>
    </dataValidation>
    <dataValidation allowBlank="true" errorStyle="stop" operator="equal" showDropDown="false" showErrorMessage="true" showInputMessage="true" sqref="AO29 AX29 BD29 BK29 BS29" type="list">
      <formula1>$AH$5:$AH$8</formula1>
      <formula2>0</formula2>
    </dataValidation>
  </dataValidations>
  <hyperlinks>
    <hyperlink ref="B47" r:id="rId1" display="If you spot a mistake or wish to suggest an improvement, please contact : contact@myengineeringtools.com"/>
    <hyperlink ref="B49" r:id="rId2" display="Copyright www.MyEngineeringTools.com"/>
  </hyperlinks>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3"/>
</worksheet>
</file>

<file path=docProps/app.xml><?xml version="1.0" encoding="utf-8"?>
<Properties xmlns="http://schemas.openxmlformats.org/officeDocument/2006/extended-properties" xmlns:vt="http://schemas.openxmlformats.org/officeDocument/2006/docPropsVTypes">
  <Template/>
  <TotalTime>29</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2018-10-25T17:19:27Z</dcterms:created>
  <dc:creator/>
  <dc:description/>
  <dc:language>en-US</dc:language>
  <cp:lastModifiedBy/>
  <dcterms:modified xsi:type="dcterms:W3CDTF">2022-12-31T19:38:56Z</dcterms:modified>
  <cp:revision>12</cp:revision>
  <dc:subject/>
  <dc:title/>
</cp:coreProperties>
</file>

<file path=docProps/custom.xml><?xml version="1.0" encoding="utf-8"?>
<Properties xmlns="http://schemas.openxmlformats.org/officeDocument/2006/custom-properties" xmlns:vt="http://schemas.openxmlformats.org/officeDocument/2006/docPropsVTypes"/>
</file>