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_rels/sheet1.xml.rels" ContentType="application/vnd.openxmlformats-package.relationships+xml"/>
  <Override PartName="/xl/sharedStrings.xml" ContentType="application/vnd.openxmlformats-officedocument.spreadsheetml.sharedStrings+xml"/>
  <Override PartName="/xl/media/image58.wmf" ContentType="image/x-wmf"/>
  <Override PartName="/xl/media/image63.wmf" ContentType="image/x-wmf"/>
  <Override PartName="/xl/media/image59.wmf" ContentType="image/x-wmf"/>
  <Override PartName="/xl/media/image60.wmf" ContentType="image/x-wmf"/>
  <Override PartName="/xl/media/image61.wmf" ContentType="image/x-wmf"/>
  <Override PartName="/xl/media/image64.jpeg" ContentType="image/jpeg"/>
  <Override PartName="/xl/media/image62.wmf" ContentType="image/x-wmf"/>
  <Override PartName="/xl/media/image65.wmf" ContentType="image/x-wmf"/>
  <Override PartName="/xl/media/image66.wmf" ContentType="image/x-wmf"/>
  <Override PartName="/xl/media/image67.png" ContentType="image/png"/>
  <Override PartName="/xl/media/image68.png" ContentType="image/png"/>
  <Override PartName="/xl/media/image69.png" ContentType="image/png"/>
  <Override PartName="/xl/media/image70.png" ContentType="image/png"/>
  <Override PartName="/xl/media/image71.png" ContentType="image/png"/>
  <Override PartName="/xl/media/image72.png" ContentType="image/png"/>
  <Override PartName="/xl/media/image73.png" ContentType="image/png"/>
  <Override PartName="/xl/media/image74.png" ContentType="image/png"/>
  <Override PartName="/xl/media/image75.png" ContentType="image/png"/>
  <Override PartName="/xl/media/image76.png" ContentType="image/png"/>
  <Override PartName="/xl/drawings/drawing1.xml" ContentType="application/vnd.openxmlformats-officedocument.drawing+xml"/>
  <Override PartName="/xl/drawings/_rels/drawing1.xml.rels" ContentType="application/vnd.openxmlformats-package.relationship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Incompressible flow" sheetId="1" state="visible" r:id="rId2"/>
  </sheets>
  <calcPr iterateCount="100" refMode="A1" iterate="false" iterateDelta="0.001"/>
  <extLst>
    <ext xmlns:loext="http://schemas.libreoffice.org/" uri="{7626C862-2A13-11E5-B345-FEFF819CDC9F}">
      <loext:extCalcPr stringRefSyntax="CalcA1ExcelA1"/>
    </ext>
  </extLst>
</workbook>
</file>

<file path=xl/sharedStrings.xml><?xml version="1.0" encoding="utf-8"?>
<sst xmlns="http://schemas.openxmlformats.org/spreadsheetml/2006/main" count="197" uniqueCount="109">
  <si>
    <t xml:space="preserve">FOR EDUCATIONAL PURPOSE ONLY – DO NOT USE THIS METHOD FOR DETAIL DESIGN – ALWAYS CONSULT A REPUTABLE SUPPLIER FOR DETAIL DESIGN</t>
  </si>
  <si>
    <t xml:space="preserve">Valid in TURBULENT FLOW</t>
  </si>
  <si>
    <t xml:space="preserve">Valid for incompressible fluid (~liquid)</t>
  </si>
  <si>
    <t xml:space="preserve">Instruction</t>
  </si>
  <si>
    <t xml:space="preserve">Split the pipe layout in sections and describe sections line by line including the number of pipes and fitting in each section</t>
  </si>
  <si>
    <t xml:space="preserve">Open</t>
  </si>
  <si>
    <t xml:space="preserve">If you wish to calculate the pressure drop at a given mass flowrate, enter the flow in cell C13 and read the total pressure drop in cell C14. Pressure drop in each section is in column CJ</t>
  </si>
  <si>
    <t xml:space="preserve">1/2 Open</t>
  </si>
  <si>
    <t xml:space="preserve">3/4 Open</t>
  </si>
  <si>
    <t xml:space="preserve">If you wish to calculate the flow for a given pressure drop, enter the pressure drop available in cell C17 and modify cell C13 so that cell C18 equals 0</t>
  </si>
  <si>
    <t xml:space="preserve">To modify</t>
  </si>
  <si>
    <t xml:space="preserve">Calculated</t>
  </si>
  <si>
    <t xml:space="preserve">1/4 Open</t>
  </si>
  <si>
    <t xml:space="preserve">Pipe flow</t>
  </si>
  <si>
    <t xml:space="preserve">kg/h</t>
  </si>
  <si>
    <t xml:space="preserve">Actual DP</t>
  </si>
  <si>
    <t xml:space="preserve">bar</t>
  </si>
  <si>
    <t xml:space="preserve">Various pressure drops</t>
  </si>
  <si>
    <t xml:space="preserve">If resolution = flow for a given DP</t>
  </si>
  <si>
    <t xml:space="preserve">Available DP</t>
  </si>
  <si>
    <t xml:space="preserve">Available - Actual</t>
  </si>
  <si>
    <t xml:space="preserve">Bring this value in cell C18 to 0 by modifying the pipe flow in cell C13</t>
  </si>
  <si>
    <t xml:space="preserve">Choose teta as 10,15,20,30,45</t>
  </si>
  <si>
    <t xml:space="preserve">Pipe section</t>
  </si>
  <si>
    <t xml:space="preserve">Fluid</t>
  </si>
  <si>
    <t xml:space="preserve">Specific gravity</t>
  </si>
  <si>
    <t xml:space="preserve">Temperature</t>
  </si>
  <si>
    <t xml:space="preserve">Dynamic viscosity</t>
  </si>
  <si>
    <t xml:space="preserve">Pipe diameter</t>
  </si>
  <si>
    <t xml:space="preserve">Pipe length</t>
  </si>
  <si>
    <t xml:space="preserve">Height difference DZ</t>
  </si>
  <si>
    <t xml:space="preserve">Roughness</t>
  </si>
  <si>
    <t xml:space="preserve">Relative roughness</t>
  </si>
  <si>
    <t xml:space="preserve">Mass flow rate</t>
  </si>
  <si>
    <t xml:space="preserve">Volumetric flow rate</t>
  </si>
  <si>
    <t xml:space="preserve">Fluid velocity</t>
  </si>
  <si>
    <t xml:space="preserve">Reynolds</t>
  </si>
  <si>
    <r>
      <rPr>
        <b val="true"/>
        <sz val="10"/>
        <color rgb="FF000000"/>
        <rFont val="Calibri"/>
        <family val="2"/>
        <charset val="1"/>
      </rPr>
      <t xml:space="preserve">Moody</t>
    </r>
    <r>
      <rPr>
        <sz val="10"/>
        <color rgb="FF000000"/>
        <rFont val="Calibri"/>
        <family val="2"/>
        <charset val="1"/>
      </rPr>
      <t xml:space="preserve"> friction factor</t>
    </r>
  </si>
  <si>
    <t xml:space="preserve">Flanged</t>
  </si>
  <si>
    <t xml:space="preserve">rho</t>
  </si>
  <si>
    <t xml:space="preserve">mu</t>
  </si>
  <si>
    <t xml:space="preserve">D</t>
  </si>
  <si>
    <t xml:space="preserve">L</t>
  </si>
  <si>
    <t xml:space="preserve">H</t>
  </si>
  <si>
    <t xml:space="preserve">e</t>
  </si>
  <si>
    <t xml:space="preserve">e/D</t>
  </si>
  <si>
    <t xml:space="preserve">Qm</t>
  </si>
  <si>
    <t xml:space="preserve">Qv</t>
  </si>
  <si>
    <t xml:space="preserve">u</t>
  </si>
  <si>
    <t xml:space="preserve">Re</t>
  </si>
  <si>
    <t xml:space="preserve">A</t>
  </si>
  <si>
    <t xml:space="preserve">B</t>
  </si>
  <si>
    <t xml:space="preserve">f</t>
  </si>
  <si>
    <r>
      <rPr>
        <sz val="10"/>
        <rFont val="Arial"/>
        <family val="2"/>
        <charset val="1"/>
      </rPr>
      <t xml:space="preserve">90</t>
    </r>
    <r>
      <rPr>
        <sz val="11"/>
        <color rgb="FF000000"/>
        <rFont val="Calibri"/>
        <family val="2"/>
        <charset val="1"/>
      </rPr>
      <t xml:space="preserve">° elbow</t>
    </r>
  </si>
  <si>
    <t xml:space="preserve">Standard</t>
  </si>
  <si>
    <t xml:space="preserve">Long radius</t>
  </si>
  <si>
    <t xml:space="preserve">45° elbow</t>
  </si>
  <si>
    <t xml:space="preserve">Coupling</t>
  </si>
  <si>
    <t xml:space="preserve">Globe valve</t>
  </si>
  <si>
    <t xml:space="preserve">Needle valve / plug disk</t>
  </si>
  <si>
    <t xml:space="preserve">Gate valve</t>
  </si>
  <si>
    <t xml:space="preserve">Butterfly valve</t>
  </si>
  <si>
    <t xml:space="preserve">Ball Valve</t>
  </si>
  <si>
    <t xml:space="preserve">Diaphragm</t>
  </si>
  <si>
    <t xml:space="preserve">Angle valve</t>
  </si>
  <si>
    <t xml:space="preserve">Tank inlet</t>
  </si>
  <si>
    <t xml:space="preserve">Tank outlet</t>
  </si>
  <si>
    <t xml:space="preserve">Sudden enlargement</t>
  </si>
  <si>
    <t xml:space="preserve">Sudden contraction</t>
  </si>
  <si>
    <t xml:space="preserve">Progressive enlargement</t>
  </si>
  <si>
    <t xml:space="preserve">Progressive contraction</t>
  </si>
  <si>
    <t xml:space="preserve">R.O</t>
  </si>
  <si>
    <t xml:space="preserve">kg/m3</t>
  </si>
  <si>
    <t xml:space="preserve">c</t>
  </si>
  <si>
    <t xml:space="preserve">Pa.s</t>
  </si>
  <si>
    <t xml:space="preserve">m</t>
  </si>
  <si>
    <t xml:space="preserve">mm</t>
  </si>
  <si>
    <t xml:space="preserve">m3/h</t>
  </si>
  <si>
    <t xml:space="preserve">m/s</t>
  </si>
  <si>
    <t xml:space="preserve">-</t>
  </si>
  <si>
    <t xml:space="preserve">Number</t>
  </si>
  <si>
    <t xml:space="preserve">k</t>
  </si>
  <si>
    <t xml:space="preserve">Total k</t>
  </si>
  <si>
    <t xml:space="preserve">d</t>
  </si>
  <si>
    <t xml:space="preserve">teta</t>
  </si>
  <si>
    <t xml:space="preserve">C</t>
  </si>
  <si>
    <t xml:space="preserve">Sum k</t>
  </si>
  <si>
    <t xml:space="preserve">Valve and fitting pressure drop (Pa)</t>
  </si>
  <si>
    <t xml:space="preserve">Straight pipe pressure drop</t>
  </si>
  <si>
    <t xml:space="preserve">Elevation</t>
  </si>
  <si>
    <t xml:space="preserve">Total</t>
  </si>
  <si>
    <t xml:space="preserve">Section 1</t>
  </si>
  <si>
    <t xml:space="preserve">Water</t>
  </si>
  <si>
    <t xml:space="preserve">Section 2</t>
  </si>
  <si>
    <t xml:space="preserve">Section 3</t>
  </si>
  <si>
    <t xml:space="preserve">Section 4</t>
  </si>
  <si>
    <t xml:space="preserve">Section 5</t>
  </si>
  <si>
    <t xml:space="preserve">Section 6</t>
  </si>
  <si>
    <t xml:space="preserve">Section 7</t>
  </si>
  <si>
    <t xml:space="preserve">Section 8</t>
  </si>
  <si>
    <t xml:space="preserve">Section 9</t>
  </si>
  <si>
    <t xml:space="preserve">Section 10</t>
  </si>
  <si>
    <t xml:space="preserve">Sources</t>
  </si>
  <si>
    <t xml:space="preserve">Perry page 6-18</t>
  </si>
  <si>
    <t xml:space="preserve">Mecanique et Rheologies des fluides en genie chimique, Midoux, page 329-330</t>
  </si>
  <si>
    <t xml:space="preserve">Applied Process Design Volume 1 - Ludwig - Gulf Professional page 69</t>
  </si>
  <si>
    <t xml:space="preserve">If you spot a mistake or wish to suggest an improvement, please contact : contact@myengineeringtools.com</t>
  </si>
  <si>
    <t xml:space="preserve">Copyright www.MyEngineeringTools.com</t>
  </si>
  <si>
    <t xml:space="preserve">The content of MyEngineeringTools.com is copyrighted but no warranty nor liability is ensured. The content of this site is to be seen as a help and important information and calculation must always be double checked by the user through the quality procedure of his organization or by checking another source. The user must always respect all applicable regulation. The use of the information is at the user and its organization own risk and own cost.</t>
  </si>
</sst>
</file>

<file path=xl/styles.xml><?xml version="1.0" encoding="utf-8"?>
<styleSheet xmlns="http://schemas.openxmlformats.org/spreadsheetml/2006/main">
  <numFmts count="3">
    <numFmt numFmtId="164" formatCode="General"/>
    <numFmt numFmtId="165" formatCode="General"/>
    <numFmt numFmtId="166" formatCode="0.00E+00"/>
  </numFmts>
  <fonts count="20">
    <font>
      <sz val="10"/>
      <name val="Arial"/>
      <family val="2"/>
      <charset val="1"/>
    </font>
    <font>
      <sz val="10"/>
      <name val="Arial"/>
      <family val="0"/>
    </font>
    <font>
      <sz val="10"/>
      <name val="Arial"/>
      <family val="0"/>
    </font>
    <font>
      <sz val="10"/>
      <name val="Arial"/>
      <family val="0"/>
    </font>
    <font>
      <b val="true"/>
      <sz val="11"/>
      <color rgb="FF1F497D"/>
      <name val="Calibri"/>
      <family val="2"/>
      <charset val="1"/>
    </font>
    <font>
      <b val="true"/>
      <sz val="11"/>
      <color rgb="FFFF0000"/>
      <name val="Calibri"/>
      <family val="2"/>
      <charset val="1"/>
    </font>
    <font>
      <sz val="10"/>
      <color rgb="FFFFFFFF"/>
      <name val="Arial"/>
      <family val="2"/>
      <charset val="1"/>
    </font>
    <font>
      <i val="true"/>
      <sz val="11"/>
      <color rgb="FF000000"/>
      <name val="Calibri"/>
      <family val="2"/>
      <charset val="1"/>
    </font>
    <font>
      <b val="true"/>
      <sz val="11"/>
      <color rgb="FF000000"/>
      <name val="Calibri"/>
      <family val="2"/>
      <charset val="1"/>
    </font>
    <font>
      <sz val="10"/>
      <color rgb="FF000000"/>
      <name val="Calibri"/>
      <family val="2"/>
      <charset val="1"/>
    </font>
    <font>
      <b val="true"/>
      <sz val="10"/>
      <color rgb="FF000000"/>
      <name val="Calibri"/>
      <family val="2"/>
      <charset val="1"/>
    </font>
    <font>
      <sz val="11"/>
      <color rgb="FFFF0000"/>
      <name val="Calibri"/>
      <family val="2"/>
      <charset val="1"/>
    </font>
    <font>
      <sz val="11"/>
      <color rgb="FF000000"/>
      <name val="Calibri"/>
      <family val="2"/>
      <charset val="1"/>
    </font>
    <font>
      <b val="true"/>
      <sz val="8"/>
      <color rgb="FF1F497D"/>
      <name val="Calibri"/>
      <family val="2"/>
      <charset val="1"/>
    </font>
    <font>
      <b val="true"/>
      <sz val="8"/>
      <color rgb="FFFF0000"/>
      <name val="Calibri"/>
      <family val="2"/>
      <charset val="1"/>
    </font>
    <font>
      <b val="true"/>
      <sz val="10"/>
      <name val="Arial"/>
      <family val="2"/>
      <charset val="1"/>
    </font>
    <font>
      <sz val="9"/>
      <color rgb="FF000000"/>
      <name val="Tahoma"/>
      <family val="0"/>
      <charset val="1"/>
    </font>
    <font>
      <sz val="10"/>
      <color rgb="FF0000FF"/>
      <name val="Arial"/>
      <family val="2"/>
      <charset val="1"/>
    </font>
    <font>
      <sz val="10"/>
      <color rgb="FF0000FF"/>
      <name val="Times New Roman"/>
      <family val="1"/>
      <charset val="1"/>
    </font>
    <font>
      <i val="true"/>
      <sz val="10"/>
      <name val="Times New Roman"/>
      <family val="1"/>
      <charset val="1"/>
    </font>
  </fonts>
  <fills count="5">
    <fill>
      <patternFill patternType="none"/>
    </fill>
    <fill>
      <patternFill patternType="gray125"/>
    </fill>
    <fill>
      <patternFill patternType="solid">
        <fgColor rgb="FFF10D0C"/>
        <bgColor rgb="FFFF0000"/>
      </patternFill>
    </fill>
    <fill>
      <patternFill patternType="solid">
        <fgColor rgb="FFEBF1DE"/>
        <bgColor rgb="FFFFFFFF"/>
      </patternFill>
    </fill>
    <fill>
      <patternFill patternType="solid">
        <fgColor rgb="FFFCD5B5"/>
        <bgColor rgb="FFEBF1DE"/>
      </patternFill>
    </fill>
  </fills>
  <borders count="13">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style="medium"/>
      <top style="medium"/>
      <bottom/>
      <diagonal/>
    </border>
    <border diagonalUp="false" diagonalDown="false">
      <left style="medium"/>
      <right/>
      <top/>
      <bottom style="medium"/>
      <diagonal/>
    </border>
    <border diagonalUp="false" diagonalDown="false">
      <left/>
      <right/>
      <top/>
      <bottom style="medium"/>
      <diagonal/>
    </border>
    <border diagonalUp="false" diagonalDown="false">
      <left/>
      <right style="medium"/>
      <top/>
      <bottom style="medium"/>
      <diagonal/>
    </border>
    <border diagonalUp="false" diagonalDown="false">
      <left style="medium"/>
      <right style="medium"/>
      <top style="medium"/>
      <bottom/>
      <diagonal/>
    </border>
    <border diagonalUp="false" diagonalDown="false">
      <left style="medium"/>
      <right/>
      <top/>
      <bottom/>
      <diagonal/>
    </border>
    <border diagonalUp="false" diagonalDown="false">
      <left/>
      <right style="medium"/>
      <top/>
      <bottom/>
      <diagonal/>
    </border>
    <border diagonalUp="false" diagonalDown="false">
      <left style="medium"/>
      <right style="medium"/>
      <top style="medium"/>
      <bottom style="medium"/>
      <diagonal/>
    </border>
    <border diagonalUp="false" diagonalDown="false">
      <left style="medium"/>
      <right style="medium"/>
      <top/>
      <bottom/>
      <diagonal/>
    </border>
    <border diagonalUp="false" diagonalDown="false">
      <left style="medium"/>
      <right style="medium"/>
      <top/>
      <bottom style="mediu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5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2" borderId="0" xfId="0" applyFont="true" applyBorder="false" applyAlignment="false" applyProtection="false">
      <alignment horizontal="general" vertical="bottom" textRotation="0" wrapText="false" indent="0" shrinkToFit="false"/>
      <protection locked="true" hidden="false"/>
    </xf>
    <xf numFmtId="164" fontId="0" fillId="2" borderId="0" xfId="0" applyFont="false" applyBorder="false" applyAlignment="false" applyProtection="false">
      <alignment horizontal="general" vertical="bottom" textRotation="0" wrapText="false" indent="0" shrinkToFit="false"/>
      <protection locked="true" hidden="false"/>
    </xf>
    <xf numFmtId="164" fontId="4" fillId="3" borderId="0" xfId="0" applyFont="true" applyBorder="false" applyAlignment="false" applyProtection="false">
      <alignment horizontal="general" vertical="bottom" textRotation="0" wrapText="false" indent="0" shrinkToFit="false"/>
      <protection locked="true" hidden="false"/>
    </xf>
    <xf numFmtId="164" fontId="5" fillId="4" borderId="0" xfId="0" applyFont="true" applyBorder="false" applyAlignment="false" applyProtection="false">
      <alignment horizontal="general" vertical="bottom" textRotation="0" wrapText="false" indent="0" shrinkToFit="false"/>
      <protection locked="true" hidden="false"/>
    </xf>
    <xf numFmtId="164" fontId="0" fillId="0" borderId="1" xfId="0" applyFont="true" applyBorder="true" applyAlignment="false" applyProtection="false">
      <alignment horizontal="general" vertical="bottom" textRotation="0" wrapText="false" indent="0" shrinkToFit="false"/>
      <protection locked="true" hidden="false"/>
    </xf>
    <xf numFmtId="164" fontId="4" fillId="3" borderId="2" xfId="0" applyFont="true" applyBorder="true" applyAlignment="false" applyProtection="true">
      <alignment horizontal="general" vertical="bottom" textRotation="0" wrapText="false" indent="0" shrinkToFit="false"/>
      <protection locked="false" hidden="false"/>
    </xf>
    <xf numFmtId="164" fontId="0" fillId="0" borderId="3"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0" fillId="0" borderId="4" xfId="0" applyFont="true" applyBorder="true" applyAlignment="false" applyProtection="false">
      <alignment horizontal="general" vertical="bottom" textRotation="0" wrapText="false" indent="0" shrinkToFit="false"/>
      <protection locked="true" hidden="false"/>
    </xf>
    <xf numFmtId="165" fontId="5" fillId="4" borderId="5" xfId="0" applyFont="true" applyBorder="true" applyAlignment="false" applyProtection="false">
      <alignment horizontal="general" vertical="bottom" textRotation="0" wrapText="false" indent="0" shrinkToFit="false"/>
      <protection locked="tru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4" fontId="6" fillId="0" borderId="0" xfId="0" applyFont="true" applyBorder="false" applyAlignment="false" applyProtection="false">
      <alignment horizontal="general" vertical="bottom" textRotation="0" wrapText="false" indent="0" shrinkToFit="false"/>
      <protection locked="true" hidden="false"/>
    </xf>
    <xf numFmtId="164" fontId="0" fillId="0" borderId="2" xfId="0" applyFont="false" applyBorder="true" applyAlignment="false" applyProtection="false">
      <alignment horizontal="general" vertical="bottom" textRotation="0" wrapText="false" indent="0" shrinkToFit="false"/>
      <protection locked="true" hidden="false"/>
    </xf>
    <xf numFmtId="164" fontId="0" fillId="0" borderId="7" xfId="0" applyFont="true" applyBorder="true" applyAlignment="true" applyProtection="false">
      <alignment horizontal="center" vertical="bottom" textRotation="0" wrapText="false" indent="0" shrinkToFit="false"/>
      <protection locked="true" hidden="false"/>
    </xf>
    <xf numFmtId="164" fontId="7" fillId="0" borderId="0" xfId="0" applyFont="true" applyBorder="false" applyAlignment="false" applyProtection="false">
      <alignment horizontal="general" vertical="bottom" textRotation="0" wrapText="false" indent="0" shrinkToFit="false"/>
      <protection locked="true" hidden="false"/>
    </xf>
    <xf numFmtId="164" fontId="0" fillId="0" borderId="8" xfId="0" applyFont="false" applyBorder="true" applyAlignment="false" applyProtection="false">
      <alignment horizontal="general" vertical="bottom" textRotation="0" wrapText="false" indent="0" shrinkToFit="false"/>
      <protection locked="true" hidden="false"/>
    </xf>
    <xf numFmtId="164" fontId="0" fillId="0" borderId="9" xfId="0" applyFont="false" applyBorder="true" applyAlignment="false" applyProtection="false">
      <alignment horizontal="general" vertical="bottom" textRotation="0" wrapText="false" indent="0" shrinkToFit="false"/>
      <protection locked="true" hidden="false"/>
    </xf>
    <xf numFmtId="164" fontId="8" fillId="0" borderId="0" xfId="0" applyFont="true" applyBorder="false" applyAlignment="false" applyProtection="false">
      <alignment horizontal="general" vertical="bottom" textRotation="0" wrapText="false" indent="0" shrinkToFit="false"/>
      <protection locked="true" hidden="false"/>
    </xf>
    <xf numFmtId="164" fontId="9" fillId="0" borderId="7" xfId="0" applyFont="true" applyBorder="true" applyAlignment="false" applyProtection="false">
      <alignment horizontal="general" vertical="bottom" textRotation="0" wrapText="false" indent="0" shrinkToFit="false"/>
      <protection locked="true" hidden="false"/>
    </xf>
    <xf numFmtId="164" fontId="10" fillId="0" borderId="10" xfId="0" applyFont="true" applyBorder="true" applyAlignment="true" applyProtection="false">
      <alignment horizontal="center" vertical="bottom" textRotation="0" wrapText="false" indent="0" shrinkToFit="false"/>
      <protection locked="true" hidden="false"/>
    </xf>
    <xf numFmtId="164" fontId="11" fillId="0" borderId="8" xfId="0" applyFont="true" applyBorder="true" applyAlignment="false" applyProtection="false">
      <alignment horizontal="general" vertical="bottom" textRotation="0" wrapText="false" indent="0" shrinkToFit="false"/>
      <protection locked="true" hidden="false"/>
    </xf>
    <xf numFmtId="164" fontId="9" fillId="0" borderId="11" xfId="0" applyFont="true" applyBorder="true" applyAlignment="false" applyProtection="false">
      <alignment horizontal="general" vertical="bottom" textRotation="0" wrapText="false" indent="0" shrinkToFit="false"/>
      <protection locked="true" hidden="false"/>
    </xf>
    <xf numFmtId="164" fontId="9" fillId="0" borderId="9" xfId="0" applyFont="true" applyBorder="true" applyAlignment="false" applyProtection="false">
      <alignment horizontal="general" vertical="bottom" textRotation="0" wrapText="false" indent="0" shrinkToFit="false"/>
      <protection locked="true" hidden="false"/>
    </xf>
    <xf numFmtId="164" fontId="12" fillId="0" borderId="8" xfId="0" applyFont="true" applyBorder="true" applyAlignment="false" applyProtection="false">
      <alignment horizontal="general" vertical="bottom" textRotation="0" wrapText="false" indent="0" shrinkToFit="false"/>
      <protection locked="true" hidden="false"/>
    </xf>
    <xf numFmtId="164" fontId="0" fillId="0" borderId="9" xfId="0" applyFont="true" applyBorder="true" applyAlignment="false" applyProtection="true">
      <alignment horizontal="general" vertical="bottom" textRotation="0" wrapText="false" indent="0" shrinkToFit="false"/>
      <protection locked="false" hidden="false"/>
    </xf>
    <xf numFmtId="164" fontId="9" fillId="0" borderId="12" xfId="0" applyFont="true" applyBorder="true" applyAlignment="false" applyProtection="false">
      <alignment horizontal="general" vertical="bottom" textRotation="0" wrapText="false" indent="0" shrinkToFit="false"/>
      <protection locked="true" hidden="false"/>
    </xf>
    <xf numFmtId="164" fontId="9" fillId="0" borderId="6" xfId="0" applyFont="true" applyBorder="true" applyAlignment="false" applyProtection="false">
      <alignment horizontal="general" vertical="bottom" textRotation="0" wrapText="false" indent="0" shrinkToFit="false"/>
      <protection locked="true" hidden="false"/>
    </xf>
    <xf numFmtId="164" fontId="0" fillId="0" borderId="0" xfId="0" applyFont="true" applyBorder="true" applyAlignment="false" applyProtection="false">
      <alignment horizontal="general" vertical="bottom" textRotation="0" wrapText="false" indent="0" shrinkToFit="false"/>
      <protection locked="true" hidden="false"/>
    </xf>
    <xf numFmtId="164" fontId="0" fillId="0" borderId="12" xfId="0" applyFont="true" applyBorder="true" applyAlignment="false" applyProtection="false">
      <alignment horizontal="general" vertical="bottom" textRotation="0" wrapText="false" indent="0" shrinkToFit="false"/>
      <protection locked="true" hidden="false"/>
    </xf>
    <xf numFmtId="164" fontId="4" fillId="3" borderId="1" xfId="0" applyFont="true" applyBorder="true" applyAlignment="false" applyProtection="true">
      <alignment horizontal="general" vertical="bottom" textRotation="0" wrapText="false" indent="0" shrinkToFit="false"/>
      <protection locked="false" hidden="false"/>
    </xf>
    <xf numFmtId="166" fontId="13" fillId="3" borderId="2" xfId="0" applyFont="true" applyBorder="true" applyAlignment="false" applyProtection="true">
      <alignment horizontal="general" vertical="bottom" textRotation="0" wrapText="false" indent="0" shrinkToFit="false"/>
      <protection locked="false" hidden="false"/>
    </xf>
    <xf numFmtId="165" fontId="5" fillId="4" borderId="2" xfId="0" applyFont="true" applyBorder="true" applyAlignment="false" applyProtection="false">
      <alignment horizontal="general" vertical="bottom" textRotation="0" wrapText="false" indent="0" shrinkToFit="false"/>
      <protection locked="true" hidden="false"/>
    </xf>
    <xf numFmtId="166" fontId="14" fillId="4" borderId="2" xfId="0" applyFont="true" applyBorder="true" applyAlignment="false" applyProtection="false">
      <alignment horizontal="general" vertical="bottom" textRotation="0" wrapText="false" indent="0" shrinkToFit="false"/>
      <protection locked="true" hidden="false"/>
    </xf>
    <xf numFmtId="164" fontId="0" fillId="0" borderId="1" xfId="0" applyFont="false" applyBorder="true" applyAlignment="false" applyProtection="true">
      <alignment horizontal="general" vertical="bottom" textRotation="0" wrapText="false" indent="0" shrinkToFit="false"/>
      <protection locked="false" hidden="false"/>
    </xf>
    <xf numFmtId="164" fontId="0" fillId="0" borderId="2" xfId="0" applyFont="false" applyBorder="true" applyAlignment="false" applyProtection="true">
      <alignment horizontal="general" vertical="bottom" textRotation="0" wrapText="false" indent="0" shrinkToFit="false"/>
      <protection locked="false" hidden="false"/>
    </xf>
    <xf numFmtId="164" fontId="4" fillId="3" borderId="8" xfId="0" applyFont="true" applyBorder="true" applyAlignment="false" applyProtection="true">
      <alignment horizontal="general" vertical="bottom" textRotation="0" wrapText="false" indent="0" shrinkToFit="false"/>
      <protection locked="false" hidden="false"/>
    </xf>
    <xf numFmtId="164" fontId="4" fillId="3" borderId="0" xfId="0" applyFont="true" applyBorder="true" applyAlignment="false" applyProtection="true">
      <alignment horizontal="general" vertical="bottom" textRotation="0" wrapText="false" indent="0" shrinkToFit="false"/>
      <protection locked="false" hidden="false"/>
    </xf>
    <xf numFmtId="166" fontId="13" fillId="3" borderId="0" xfId="0" applyFont="true" applyBorder="true" applyAlignment="false" applyProtection="true">
      <alignment horizontal="general" vertical="bottom" textRotation="0" wrapText="false" indent="0" shrinkToFit="false"/>
      <protection locked="false" hidden="false"/>
    </xf>
    <xf numFmtId="165" fontId="5" fillId="4" borderId="0" xfId="0" applyFont="true" applyBorder="true" applyAlignment="false" applyProtection="false">
      <alignment horizontal="general" vertical="bottom" textRotation="0" wrapText="false" indent="0" shrinkToFit="false"/>
      <protection locked="true" hidden="false"/>
    </xf>
    <xf numFmtId="166" fontId="14" fillId="4" borderId="0" xfId="0" applyFont="true" applyBorder="true" applyAlignment="false" applyProtection="false">
      <alignment horizontal="general" vertical="bottom" textRotation="0" wrapText="false" indent="0" shrinkToFit="false"/>
      <protection locked="true" hidden="false"/>
    </xf>
    <xf numFmtId="164" fontId="0" fillId="0" borderId="8" xfId="0" applyFont="false" applyBorder="true" applyAlignment="false" applyProtection="true">
      <alignment horizontal="general" vertical="bottom" textRotation="0" wrapText="false" indent="0" shrinkToFit="false"/>
      <protection locked="false" hidden="false"/>
    </xf>
    <xf numFmtId="164" fontId="0" fillId="0" borderId="0" xfId="0" applyFont="false" applyBorder="true" applyAlignment="false" applyProtection="true">
      <alignment horizontal="general" vertical="bottom" textRotation="0" wrapText="false" indent="0" shrinkToFit="false"/>
      <protection locked="false" hidden="false"/>
    </xf>
    <xf numFmtId="164" fontId="4" fillId="3" borderId="4" xfId="0" applyFont="true" applyBorder="true" applyAlignment="false" applyProtection="true">
      <alignment horizontal="general" vertical="bottom" textRotation="0" wrapText="false" indent="0" shrinkToFit="false"/>
      <protection locked="false" hidden="false"/>
    </xf>
    <xf numFmtId="164" fontId="4" fillId="3" borderId="5" xfId="0" applyFont="true" applyBorder="true" applyAlignment="false" applyProtection="true">
      <alignment horizontal="general" vertical="bottom" textRotation="0" wrapText="false" indent="0" shrinkToFit="false"/>
      <protection locked="false" hidden="false"/>
    </xf>
    <xf numFmtId="166" fontId="13" fillId="3" borderId="5" xfId="0" applyFont="true" applyBorder="true" applyAlignment="false" applyProtection="true">
      <alignment horizontal="general" vertical="bottom" textRotation="0" wrapText="false" indent="0" shrinkToFit="false"/>
      <protection locked="false" hidden="false"/>
    </xf>
    <xf numFmtId="166" fontId="14" fillId="4" borderId="5" xfId="0" applyFont="true" applyBorder="true" applyAlignment="false" applyProtection="false">
      <alignment horizontal="general" vertical="bottom" textRotation="0" wrapText="false" indent="0" shrinkToFit="false"/>
      <protection locked="true" hidden="false"/>
    </xf>
    <xf numFmtId="164" fontId="0" fillId="0" borderId="4" xfId="0" applyFont="false" applyBorder="true" applyAlignment="false" applyProtection="true">
      <alignment horizontal="general" vertical="bottom" textRotation="0" wrapText="false" indent="0" shrinkToFit="false"/>
      <protection locked="false" hidden="false"/>
    </xf>
    <xf numFmtId="164" fontId="0" fillId="0" borderId="5" xfId="0" applyFont="false" applyBorder="true" applyAlignment="false" applyProtection="false">
      <alignment horizontal="general" vertical="bottom" textRotation="0" wrapText="false" indent="0" shrinkToFit="false"/>
      <protection locked="true" hidden="false"/>
    </xf>
    <xf numFmtId="164" fontId="0" fillId="0" borderId="5" xfId="0" applyFont="false" applyBorder="true" applyAlignment="false" applyProtection="true">
      <alignment horizontal="general" vertical="bottom" textRotation="0" wrapText="false" indent="0" shrinkToFit="false"/>
      <protection locked="false" hidden="false"/>
    </xf>
    <xf numFmtId="165" fontId="5" fillId="4" borderId="12" xfId="0" applyFont="true" applyBorder="true" applyAlignment="false" applyProtection="false">
      <alignment horizontal="general" vertical="bottom" textRotation="0" wrapText="false" indent="0" shrinkToFit="false"/>
      <protection locked="true" hidden="false"/>
    </xf>
    <xf numFmtId="164" fontId="15" fillId="0" borderId="0" xfId="0" applyFont="true" applyBorder="false" applyAlignment="false" applyProtection="false">
      <alignment horizontal="general" vertical="bottom" textRotation="0" wrapText="false" indent="0" shrinkToFit="false"/>
      <protection locked="true" hidden="false"/>
    </xf>
    <xf numFmtId="164" fontId="16" fillId="0" borderId="0" xfId="0" applyFont="true" applyBorder="false" applyAlignment="false" applyProtection="false">
      <alignment horizontal="general" vertical="bottom" textRotation="0" wrapText="false" indent="0" shrinkToFit="false"/>
      <protection locked="true" hidden="false"/>
    </xf>
    <xf numFmtId="164" fontId="17" fillId="0" borderId="0" xfId="0" applyFont="true" applyBorder="false" applyAlignment="false" applyProtection="false">
      <alignment horizontal="general" vertical="bottom" textRotation="0" wrapText="false" indent="0" shrinkToFit="false"/>
      <protection locked="true" hidden="false"/>
    </xf>
    <xf numFmtId="164" fontId="18" fillId="0" borderId="0" xfId="0" applyFont="true" applyBorder="false" applyAlignment="true" applyProtection="false">
      <alignment horizontal="general" vertical="bottom" textRotation="0" wrapText="false" indent="0" shrinkToFit="false"/>
      <protection locked="true" hidden="false"/>
    </xf>
    <xf numFmtId="164" fontId="19" fillId="0" borderId="0" xfId="0" applyFont="true" applyBorder="true" applyAlignment="true" applyProtection="false">
      <alignment horizontal="center" vertical="center" textRotation="0" wrapText="tru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2">
    <dxf>
      <font>
        <b val="0"/>
        <i val="0"/>
        <color rgb="FF006600"/>
      </font>
      <fill>
        <patternFill>
          <bgColor rgb="FFCCFFCC"/>
        </patternFill>
      </fill>
    </dxf>
    <dxf>
      <font>
        <b val="1"/>
        <i val="0"/>
        <color rgb="FFFFFFFF"/>
      </font>
      <fill>
        <patternFill>
          <bgColor rgb="FFCC0000"/>
        </patternFill>
      </fill>
    </dxf>
  </dxfs>
  <colors>
    <indexedColors>
      <rgbColor rgb="FF000000"/>
      <rgbColor rgb="FFFFFFFF"/>
      <rgbColor rgb="FFFF0000"/>
      <rgbColor rgb="FF00FF00"/>
      <rgbColor rgb="FF0000FF"/>
      <rgbColor rgb="FFFFFF00"/>
      <rgbColor rgb="FFFF00FF"/>
      <rgbColor rgb="FF00FFFF"/>
      <rgbColor rgb="FFCC0000"/>
      <rgbColor rgb="FF006600"/>
      <rgbColor rgb="FF000080"/>
      <rgbColor rgb="FF808000"/>
      <rgbColor rgb="FF800080"/>
      <rgbColor rgb="FF008080"/>
      <rgbColor rgb="FFC0C0C0"/>
      <rgbColor rgb="FF808080"/>
      <rgbColor rgb="FF9999FF"/>
      <rgbColor rgb="FF993366"/>
      <rgbColor rgb="FFEBF1DE"/>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CD5B5"/>
      <rgbColor rgb="FF3366FF"/>
      <rgbColor rgb="FF33CCCC"/>
      <rgbColor rgb="FF99CC00"/>
      <rgbColor rgb="FFFFCC00"/>
      <rgbColor rgb="FFFF9900"/>
      <rgbColor rgb="FFFF6600"/>
      <rgbColor rgb="FF666699"/>
      <rgbColor rgb="FF969696"/>
      <rgbColor rgb="FF003366"/>
      <rgbColor rgb="FF339966"/>
      <rgbColor rgb="FF003300"/>
      <rgbColor rgb="FF333300"/>
      <rgbColor rgb="FFF10D0C"/>
      <rgbColor rgb="FF993366"/>
      <rgbColor rgb="FF1F497D"/>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sharedStrings" Target="sharedStrings.xml"/>
</Relationships>
</file>

<file path=xl/drawings/_rels/drawing1.xml.rels><?xml version="1.0" encoding="UTF-8"?>
<Relationships xmlns="http://schemas.openxmlformats.org/package/2006/relationships"><Relationship Id="rId1" Type="http://schemas.openxmlformats.org/officeDocument/2006/relationships/image" Target="../media/image58.wmf"/><Relationship Id="rId2" Type="http://schemas.openxmlformats.org/officeDocument/2006/relationships/image" Target="../media/image59.wmf"/><Relationship Id="rId3" Type="http://schemas.openxmlformats.org/officeDocument/2006/relationships/image" Target="../media/image60.wmf"/><Relationship Id="rId4" Type="http://schemas.openxmlformats.org/officeDocument/2006/relationships/image" Target="../media/image61.wmf"/><Relationship Id="rId5" Type="http://schemas.openxmlformats.org/officeDocument/2006/relationships/image" Target="../media/image62.wmf"/><Relationship Id="rId6" Type="http://schemas.openxmlformats.org/officeDocument/2006/relationships/image" Target="../media/image63.wmf"/><Relationship Id="rId7" Type="http://schemas.openxmlformats.org/officeDocument/2006/relationships/image" Target="../media/image64.jpeg"/><Relationship Id="rId8" Type="http://schemas.openxmlformats.org/officeDocument/2006/relationships/image" Target="../media/image65.wmf"/><Relationship Id="rId9" Type="http://schemas.openxmlformats.org/officeDocument/2006/relationships/image" Target="../media/image66.wmf"/><Relationship Id="rId10" Type="http://schemas.openxmlformats.org/officeDocument/2006/relationships/image" Target="../media/image67.png"/><Relationship Id="rId11" Type="http://schemas.openxmlformats.org/officeDocument/2006/relationships/image" Target="../media/image68.png"/><Relationship Id="rId12" Type="http://schemas.openxmlformats.org/officeDocument/2006/relationships/image" Target="../media/image69.png"/><Relationship Id="rId13" Type="http://schemas.openxmlformats.org/officeDocument/2006/relationships/image" Target="../media/image70.png"/><Relationship Id="rId14" Type="http://schemas.openxmlformats.org/officeDocument/2006/relationships/image" Target="../media/image71.png"/><Relationship Id="rId15" Type="http://schemas.openxmlformats.org/officeDocument/2006/relationships/image" Target="../media/image72.png"/><Relationship Id="rId16" Type="http://schemas.openxmlformats.org/officeDocument/2006/relationships/image" Target="../media/image73.png"/><Relationship Id="rId17" Type="http://schemas.openxmlformats.org/officeDocument/2006/relationships/image" Target="../media/image74.png"/><Relationship Id="rId18" Type="http://schemas.openxmlformats.org/officeDocument/2006/relationships/image" Target="../media/image75.png"/><Relationship Id="rId19" Type="http://schemas.openxmlformats.org/officeDocument/2006/relationships/image" Target="../media/image76.png"/>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21</xdr:col>
      <xdr:colOff>355680</xdr:colOff>
      <xdr:row>15</xdr:row>
      <xdr:rowOff>40680</xdr:rowOff>
    </xdr:from>
    <xdr:to>
      <xdr:col>22</xdr:col>
      <xdr:colOff>610560</xdr:colOff>
      <xdr:row>22</xdr:row>
      <xdr:rowOff>161280</xdr:rowOff>
    </xdr:to>
    <xdr:pic>
      <xdr:nvPicPr>
        <xdr:cNvPr id="0" name="Picture 19" descr=""/>
        <xdr:cNvPicPr/>
      </xdr:nvPicPr>
      <xdr:blipFill>
        <a:blip r:embed="rId1"/>
        <a:stretch/>
      </xdr:blipFill>
      <xdr:spPr>
        <a:xfrm>
          <a:off x="20353680" y="2517120"/>
          <a:ext cx="867600" cy="1309320"/>
        </a:xfrm>
        <a:prstGeom prst="rect">
          <a:avLst/>
        </a:prstGeom>
        <a:ln w="0">
          <a:noFill/>
        </a:ln>
      </xdr:spPr>
    </xdr:pic>
    <xdr:clientData/>
  </xdr:twoCellAnchor>
  <xdr:twoCellAnchor editAs="oneCell">
    <xdr:from>
      <xdr:col>24</xdr:col>
      <xdr:colOff>410400</xdr:colOff>
      <xdr:row>15</xdr:row>
      <xdr:rowOff>27360</xdr:rowOff>
    </xdr:from>
    <xdr:to>
      <xdr:col>26</xdr:col>
      <xdr:colOff>114120</xdr:colOff>
      <xdr:row>21</xdr:row>
      <xdr:rowOff>173880</xdr:rowOff>
    </xdr:to>
    <xdr:pic>
      <xdr:nvPicPr>
        <xdr:cNvPr id="1" name="Picture 16" descr=""/>
        <xdr:cNvPicPr/>
      </xdr:nvPicPr>
      <xdr:blipFill>
        <a:blip r:embed="rId2"/>
        <a:stretch/>
      </xdr:blipFill>
      <xdr:spPr>
        <a:xfrm>
          <a:off x="22246920" y="2503800"/>
          <a:ext cx="929160" cy="1159920"/>
        </a:xfrm>
        <a:prstGeom prst="rect">
          <a:avLst/>
        </a:prstGeom>
        <a:ln w="0">
          <a:noFill/>
        </a:ln>
      </xdr:spPr>
    </xdr:pic>
    <xdr:clientData/>
  </xdr:twoCellAnchor>
  <xdr:twoCellAnchor editAs="oneCell">
    <xdr:from>
      <xdr:col>27</xdr:col>
      <xdr:colOff>519120</xdr:colOff>
      <xdr:row>14</xdr:row>
      <xdr:rowOff>110880</xdr:rowOff>
    </xdr:from>
    <xdr:to>
      <xdr:col>28</xdr:col>
      <xdr:colOff>570240</xdr:colOff>
      <xdr:row>23</xdr:row>
      <xdr:rowOff>67320</xdr:rowOff>
    </xdr:to>
    <xdr:pic>
      <xdr:nvPicPr>
        <xdr:cNvPr id="2" name="Picture 20" descr=""/>
        <xdr:cNvPicPr/>
      </xdr:nvPicPr>
      <xdr:blipFill>
        <a:blip r:embed="rId3"/>
        <a:stretch/>
      </xdr:blipFill>
      <xdr:spPr>
        <a:xfrm>
          <a:off x="24193800" y="2424960"/>
          <a:ext cx="663840" cy="1470240"/>
        </a:xfrm>
        <a:prstGeom prst="rect">
          <a:avLst/>
        </a:prstGeom>
        <a:ln w="0">
          <a:noFill/>
        </a:ln>
      </xdr:spPr>
    </xdr:pic>
    <xdr:clientData/>
  </xdr:twoCellAnchor>
  <xdr:twoCellAnchor editAs="oneCell">
    <xdr:from>
      <xdr:col>18</xdr:col>
      <xdr:colOff>462600</xdr:colOff>
      <xdr:row>15</xdr:row>
      <xdr:rowOff>95400</xdr:rowOff>
    </xdr:from>
    <xdr:to>
      <xdr:col>20</xdr:col>
      <xdr:colOff>147960</xdr:colOff>
      <xdr:row>22</xdr:row>
      <xdr:rowOff>107640</xdr:rowOff>
    </xdr:to>
    <xdr:pic>
      <xdr:nvPicPr>
        <xdr:cNvPr id="3" name="Picture 15" descr=""/>
        <xdr:cNvPicPr/>
      </xdr:nvPicPr>
      <xdr:blipFill>
        <a:blip r:embed="rId4"/>
        <a:stretch/>
      </xdr:blipFill>
      <xdr:spPr>
        <a:xfrm>
          <a:off x="18622440" y="2571840"/>
          <a:ext cx="910800" cy="1200960"/>
        </a:xfrm>
        <a:prstGeom prst="rect">
          <a:avLst/>
        </a:prstGeom>
        <a:ln w="0">
          <a:noFill/>
        </a:ln>
      </xdr:spPr>
    </xdr:pic>
    <xdr:clientData/>
  </xdr:twoCellAnchor>
  <xdr:twoCellAnchor editAs="oneCell">
    <xdr:from>
      <xdr:col>54</xdr:col>
      <xdr:colOff>286200</xdr:colOff>
      <xdr:row>16</xdr:row>
      <xdr:rowOff>149760</xdr:rowOff>
    </xdr:from>
    <xdr:to>
      <xdr:col>56</xdr:col>
      <xdr:colOff>448200</xdr:colOff>
      <xdr:row>22</xdr:row>
      <xdr:rowOff>64080</xdr:rowOff>
    </xdr:to>
    <xdr:pic>
      <xdr:nvPicPr>
        <xdr:cNvPr id="4" name="Picture 22" descr=""/>
        <xdr:cNvPicPr/>
      </xdr:nvPicPr>
      <xdr:blipFill>
        <a:blip r:embed="rId5"/>
        <a:stretch/>
      </xdr:blipFill>
      <xdr:spPr>
        <a:xfrm>
          <a:off x="40739040" y="2801520"/>
          <a:ext cx="1387440" cy="927720"/>
        </a:xfrm>
        <a:prstGeom prst="rect">
          <a:avLst/>
        </a:prstGeom>
        <a:ln w="0">
          <a:noFill/>
        </a:ln>
      </xdr:spPr>
    </xdr:pic>
    <xdr:clientData/>
  </xdr:twoCellAnchor>
  <xdr:twoCellAnchor editAs="oneCell">
    <xdr:from>
      <xdr:col>57</xdr:col>
      <xdr:colOff>219600</xdr:colOff>
      <xdr:row>16</xdr:row>
      <xdr:rowOff>163440</xdr:rowOff>
    </xdr:from>
    <xdr:to>
      <xdr:col>59</xdr:col>
      <xdr:colOff>325080</xdr:colOff>
      <xdr:row>22</xdr:row>
      <xdr:rowOff>12960</xdr:rowOff>
    </xdr:to>
    <xdr:pic>
      <xdr:nvPicPr>
        <xdr:cNvPr id="5" name="Picture 21" descr=""/>
        <xdr:cNvPicPr/>
      </xdr:nvPicPr>
      <xdr:blipFill>
        <a:blip r:embed="rId6"/>
        <a:stretch/>
      </xdr:blipFill>
      <xdr:spPr>
        <a:xfrm>
          <a:off x="42510600" y="2815200"/>
          <a:ext cx="1330920" cy="862920"/>
        </a:xfrm>
        <a:prstGeom prst="rect">
          <a:avLst/>
        </a:prstGeom>
        <a:ln w="0">
          <a:noFill/>
        </a:ln>
      </xdr:spPr>
    </xdr:pic>
    <xdr:clientData/>
  </xdr:twoCellAnchor>
  <xdr:twoCellAnchor editAs="oneCell">
    <xdr:from>
      <xdr:col>30</xdr:col>
      <xdr:colOff>367920</xdr:colOff>
      <xdr:row>17</xdr:row>
      <xdr:rowOff>56520</xdr:rowOff>
    </xdr:from>
    <xdr:to>
      <xdr:col>32</xdr:col>
      <xdr:colOff>108720</xdr:colOff>
      <xdr:row>21</xdr:row>
      <xdr:rowOff>60840</xdr:rowOff>
    </xdr:to>
    <xdr:pic>
      <xdr:nvPicPr>
        <xdr:cNvPr id="6" name="Picture 25" descr=""/>
        <xdr:cNvPicPr/>
      </xdr:nvPicPr>
      <xdr:blipFill>
        <a:blip r:embed="rId7"/>
        <a:stretch/>
      </xdr:blipFill>
      <xdr:spPr>
        <a:xfrm>
          <a:off x="25881120" y="2883600"/>
          <a:ext cx="966240" cy="667080"/>
        </a:xfrm>
        <a:prstGeom prst="rect">
          <a:avLst/>
        </a:prstGeom>
        <a:ln w="0">
          <a:noFill/>
        </a:ln>
      </xdr:spPr>
    </xdr:pic>
    <xdr:clientData/>
  </xdr:twoCellAnchor>
  <xdr:twoCellAnchor editAs="oneCell">
    <xdr:from>
      <xdr:col>60</xdr:col>
      <xdr:colOff>328320</xdr:colOff>
      <xdr:row>17</xdr:row>
      <xdr:rowOff>42840</xdr:rowOff>
    </xdr:from>
    <xdr:to>
      <xdr:col>63</xdr:col>
      <xdr:colOff>67320</xdr:colOff>
      <xdr:row>22</xdr:row>
      <xdr:rowOff>131040</xdr:rowOff>
    </xdr:to>
    <xdr:pic>
      <xdr:nvPicPr>
        <xdr:cNvPr id="7" name="Picture 23" descr=""/>
        <xdr:cNvPicPr/>
      </xdr:nvPicPr>
      <xdr:blipFill>
        <a:blip r:embed="rId8"/>
        <a:stretch/>
      </xdr:blipFill>
      <xdr:spPr>
        <a:xfrm>
          <a:off x="44457480" y="2869920"/>
          <a:ext cx="1577520" cy="926280"/>
        </a:xfrm>
        <a:prstGeom prst="rect">
          <a:avLst/>
        </a:prstGeom>
        <a:ln w="0">
          <a:noFill/>
        </a:ln>
      </xdr:spPr>
    </xdr:pic>
    <xdr:clientData/>
  </xdr:twoCellAnchor>
  <xdr:twoCellAnchor editAs="oneCell">
    <xdr:from>
      <xdr:col>64</xdr:col>
      <xdr:colOff>394920</xdr:colOff>
      <xdr:row>17</xdr:row>
      <xdr:rowOff>15840</xdr:rowOff>
    </xdr:from>
    <xdr:to>
      <xdr:col>67</xdr:col>
      <xdr:colOff>121320</xdr:colOff>
      <xdr:row>21</xdr:row>
      <xdr:rowOff>135720</xdr:rowOff>
    </xdr:to>
    <xdr:pic>
      <xdr:nvPicPr>
        <xdr:cNvPr id="8" name="Picture 24" descr=""/>
        <xdr:cNvPicPr/>
      </xdr:nvPicPr>
      <xdr:blipFill>
        <a:blip r:embed="rId9"/>
        <a:stretch/>
      </xdr:blipFill>
      <xdr:spPr>
        <a:xfrm>
          <a:off x="46975320" y="2842920"/>
          <a:ext cx="1564920" cy="782640"/>
        </a:xfrm>
        <a:prstGeom prst="rect">
          <a:avLst/>
        </a:prstGeom>
        <a:ln w="0">
          <a:noFill/>
        </a:ln>
      </xdr:spPr>
    </xdr:pic>
    <xdr:clientData/>
  </xdr:twoCellAnchor>
  <xdr:twoCellAnchor editAs="oneCell">
    <xdr:from>
      <xdr:col>68</xdr:col>
      <xdr:colOff>246600</xdr:colOff>
      <xdr:row>17</xdr:row>
      <xdr:rowOff>151920</xdr:rowOff>
    </xdr:from>
    <xdr:to>
      <xdr:col>71</xdr:col>
      <xdr:colOff>39240</xdr:colOff>
      <xdr:row>21</xdr:row>
      <xdr:rowOff>94320</xdr:rowOff>
    </xdr:to>
    <xdr:pic>
      <xdr:nvPicPr>
        <xdr:cNvPr id="9" name="Picture 3" descr=""/>
        <xdr:cNvPicPr/>
      </xdr:nvPicPr>
      <xdr:blipFill>
        <a:blip r:embed="rId10"/>
        <a:stretch/>
      </xdr:blipFill>
      <xdr:spPr>
        <a:xfrm>
          <a:off x="49278240" y="2979000"/>
          <a:ext cx="1630800" cy="605160"/>
        </a:xfrm>
        <a:prstGeom prst="rect">
          <a:avLst/>
        </a:prstGeom>
        <a:ln w="0">
          <a:noFill/>
        </a:ln>
      </xdr:spPr>
    </xdr:pic>
    <xdr:clientData/>
  </xdr:twoCellAnchor>
  <xdr:twoCellAnchor editAs="oneCell">
    <xdr:from>
      <xdr:col>73</xdr:col>
      <xdr:colOff>273960</xdr:colOff>
      <xdr:row>18</xdr:row>
      <xdr:rowOff>110880</xdr:rowOff>
    </xdr:from>
    <xdr:to>
      <xdr:col>75</xdr:col>
      <xdr:colOff>342720</xdr:colOff>
      <xdr:row>22</xdr:row>
      <xdr:rowOff>25920</xdr:rowOff>
    </xdr:to>
    <xdr:pic>
      <xdr:nvPicPr>
        <xdr:cNvPr id="10" name="Picture 5" descr=""/>
        <xdr:cNvPicPr/>
      </xdr:nvPicPr>
      <xdr:blipFill>
        <a:blip r:embed="rId11"/>
        <a:stretch/>
      </xdr:blipFill>
      <xdr:spPr>
        <a:xfrm>
          <a:off x="52369200" y="3113280"/>
          <a:ext cx="1294560" cy="577800"/>
        </a:xfrm>
        <a:prstGeom prst="rect">
          <a:avLst/>
        </a:prstGeom>
        <a:ln w="0">
          <a:noFill/>
        </a:ln>
      </xdr:spPr>
    </xdr:pic>
    <xdr:clientData/>
  </xdr:twoCellAnchor>
  <xdr:twoCellAnchor editAs="oneCell">
    <xdr:from>
      <xdr:col>78</xdr:col>
      <xdr:colOff>356040</xdr:colOff>
      <xdr:row>18</xdr:row>
      <xdr:rowOff>2160</xdr:rowOff>
    </xdr:from>
    <xdr:to>
      <xdr:col>81</xdr:col>
      <xdr:colOff>81000</xdr:colOff>
      <xdr:row>22</xdr:row>
      <xdr:rowOff>94320</xdr:rowOff>
    </xdr:to>
    <xdr:pic>
      <xdr:nvPicPr>
        <xdr:cNvPr id="11" name="Picture 1" descr=""/>
        <xdr:cNvPicPr/>
      </xdr:nvPicPr>
      <xdr:blipFill>
        <a:blip r:embed="rId12"/>
        <a:stretch/>
      </xdr:blipFill>
      <xdr:spPr>
        <a:xfrm>
          <a:off x="55515240" y="3004560"/>
          <a:ext cx="1563480" cy="754920"/>
        </a:xfrm>
        <a:prstGeom prst="rect">
          <a:avLst/>
        </a:prstGeom>
        <a:ln w="0">
          <a:noFill/>
        </a:ln>
      </xdr:spPr>
    </xdr:pic>
    <xdr:clientData/>
  </xdr:twoCellAnchor>
  <xdr:twoCellAnchor editAs="oneCell">
    <xdr:from>
      <xdr:col>33</xdr:col>
      <xdr:colOff>471240</xdr:colOff>
      <xdr:row>22</xdr:row>
      <xdr:rowOff>141840</xdr:rowOff>
    </xdr:from>
    <xdr:to>
      <xdr:col>35</xdr:col>
      <xdr:colOff>412200</xdr:colOff>
      <xdr:row>28</xdr:row>
      <xdr:rowOff>47880</xdr:rowOff>
    </xdr:to>
    <xdr:pic>
      <xdr:nvPicPr>
        <xdr:cNvPr id="12" name="Picture 13" descr=""/>
        <xdr:cNvPicPr/>
      </xdr:nvPicPr>
      <xdr:blipFill>
        <a:blip r:embed="rId13"/>
        <a:stretch/>
      </xdr:blipFill>
      <xdr:spPr>
        <a:xfrm rot="16200000">
          <a:off x="27939600" y="3690000"/>
          <a:ext cx="932400" cy="1166400"/>
        </a:xfrm>
        <a:prstGeom prst="rect">
          <a:avLst/>
        </a:prstGeom>
        <a:ln w="0">
          <a:noFill/>
        </a:ln>
      </xdr:spPr>
    </xdr:pic>
    <xdr:clientData/>
  </xdr:twoCellAnchor>
  <xdr:twoCellAnchor editAs="oneCell">
    <xdr:from>
      <xdr:col>48</xdr:col>
      <xdr:colOff>324360</xdr:colOff>
      <xdr:row>22</xdr:row>
      <xdr:rowOff>97560</xdr:rowOff>
    </xdr:from>
    <xdr:to>
      <xdr:col>49</xdr:col>
      <xdr:colOff>567720</xdr:colOff>
      <xdr:row>30</xdr:row>
      <xdr:rowOff>121680</xdr:rowOff>
    </xdr:to>
    <xdr:pic>
      <xdr:nvPicPr>
        <xdr:cNvPr id="13" name="Picture 8" descr=""/>
        <xdr:cNvPicPr/>
      </xdr:nvPicPr>
      <xdr:blipFill>
        <a:blip r:embed="rId14"/>
        <a:stretch/>
      </xdr:blipFill>
      <xdr:spPr>
        <a:xfrm rot="16200000">
          <a:off x="36828000" y="4034880"/>
          <a:ext cx="1400760" cy="856080"/>
        </a:xfrm>
        <a:prstGeom prst="rect">
          <a:avLst/>
        </a:prstGeom>
        <a:ln w="0">
          <a:noFill/>
        </a:ln>
      </xdr:spPr>
    </xdr:pic>
    <xdr:clientData/>
  </xdr:twoCellAnchor>
  <xdr:twoCellAnchor editAs="oneCell">
    <xdr:from>
      <xdr:col>36</xdr:col>
      <xdr:colOff>378000</xdr:colOff>
      <xdr:row>23</xdr:row>
      <xdr:rowOff>50040</xdr:rowOff>
    </xdr:from>
    <xdr:to>
      <xdr:col>38</xdr:col>
      <xdr:colOff>424440</xdr:colOff>
      <xdr:row>29</xdr:row>
      <xdr:rowOff>33840</xdr:rowOff>
    </xdr:to>
    <xdr:pic>
      <xdr:nvPicPr>
        <xdr:cNvPr id="14" name="Picture 12" descr=""/>
        <xdr:cNvPicPr/>
      </xdr:nvPicPr>
      <xdr:blipFill>
        <a:blip r:embed="rId15"/>
        <a:stretch/>
      </xdr:blipFill>
      <xdr:spPr>
        <a:xfrm rot="16200000">
          <a:off x="29692440" y="3753000"/>
          <a:ext cx="1022400" cy="1272240"/>
        </a:xfrm>
        <a:prstGeom prst="rect">
          <a:avLst/>
        </a:prstGeom>
        <a:ln w="0">
          <a:noFill/>
        </a:ln>
      </xdr:spPr>
    </xdr:pic>
    <xdr:clientData/>
  </xdr:twoCellAnchor>
  <xdr:twoCellAnchor editAs="oneCell">
    <xdr:from>
      <xdr:col>39</xdr:col>
      <xdr:colOff>372240</xdr:colOff>
      <xdr:row>23</xdr:row>
      <xdr:rowOff>110880</xdr:rowOff>
    </xdr:from>
    <xdr:to>
      <xdr:col>41</xdr:col>
      <xdr:colOff>356760</xdr:colOff>
      <xdr:row>30</xdr:row>
      <xdr:rowOff>54000</xdr:rowOff>
    </xdr:to>
    <xdr:pic>
      <xdr:nvPicPr>
        <xdr:cNvPr id="15" name="Picture 14" descr=""/>
        <xdr:cNvPicPr/>
      </xdr:nvPicPr>
      <xdr:blipFill>
        <a:blip r:embed="rId16"/>
        <a:stretch/>
      </xdr:blipFill>
      <xdr:spPr>
        <a:xfrm rot="16200000">
          <a:off x="31426560" y="3912120"/>
          <a:ext cx="1157040" cy="1209960"/>
        </a:xfrm>
        <a:prstGeom prst="rect">
          <a:avLst/>
        </a:prstGeom>
        <a:ln w="0">
          <a:noFill/>
        </a:ln>
      </xdr:spPr>
    </xdr:pic>
    <xdr:clientData/>
  </xdr:twoCellAnchor>
  <xdr:twoCellAnchor editAs="oneCell">
    <xdr:from>
      <xdr:col>42</xdr:col>
      <xdr:colOff>383400</xdr:colOff>
      <xdr:row>23</xdr:row>
      <xdr:rowOff>150120</xdr:rowOff>
    </xdr:from>
    <xdr:to>
      <xdr:col>45</xdr:col>
      <xdr:colOff>36000</xdr:colOff>
      <xdr:row>32</xdr:row>
      <xdr:rowOff>86400</xdr:rowOff>
    </xdr:to>
    <xdr:pic>
      <xdr:nvPicPr>
        <xdr:cNvPr id="16" name="Picture 9" descr=""/>
        <xdr:cNvPicPr/>
      </xdr:nvPicPr>
      <xdr:blipFill>
        <a:blip r:embed="rId17"/>
        <a:stretch/>
      </xdr:blipFill>
      <xdr:spPr>
        <a:xfrm rot="16200000">
          <a:off x="33361200" y="3866400"/>
          <a:ext cx="1500840" cy="1724040"/>
        </a:xfrm>
        <a:prstGeom prst="rect">
          <a:avLst/>
        </a:prstGeom>
        <a:ln w="0">
          <a:noFill/>
        </a:ln>
      </xdr:spPr>
    </xdr:pic>
    <xdr:clientData/>
  </xdr:twoCellAnchor>
  <xdr:twoCellAnchor editAs="oneCell">
    <xdr:from>
      <xdr:col>45</xdr:col>
      <xdr:colOff>195480</xdr:colOff>
      <xdr:row>23</xdr:row>
      <xdr:rowOff>73800</xdr:rowOff>
    </xdr:from>
    <xdr:to>
      <xdr:col>47</xdr:col>
      <xdr:colOff>372240</xdr:colOff>
      <xdr:row>32</xdr:row>
      <xdr:rowOff>16560</xdr:rowOff>
    </xdr:to>
    <xdr:pic>
      <xdr:nvPicPr>
        <xdr:cNvPr id="17" name="Picture 10" descr=""/>
        <xdr:cNvPicPr/>
      </xdr:nvPicPr>
      <xdr:blipFill>
        <a:blip r:embed="rId18"/>
        <a:stretch/>
      </xdr:blipFill>
      <xdr:spPr>
        <a:xfrm rot="16200000">
          <a:off x="35080560" y="3954240"/>
          <a:ext cx="1507320" cy="1402200"/>
        </a:xfrm>
        <a:prstGeom prst="rect">
          <a:avLst/>
        </a:prstGeom>
        <a:ln w="0">
          <a:noFill/>
        </a:ln>
      </xdr:spPr>
    </xdr:pic>
    <xdr:clientData/>
  </xdr:twoCellAnchor>
  <xdr:twoCellAnchor editAs="oneCell">
    <xdr:from>
      <xdr:col>52</xdr:col>
      <xdr:colOff>56880</xdr:colOff>
      <xdr:row>23</xdr:row>
      <xdr:rowOff>79560</xdr:rowOff>
    </xdr:from>
    <xdr:to>
      <xdr:col>54</xdr:col>
      <xdr:colOff>324720</xdr:colOff>
      <xdr:row>26</xdr:row>
      <xdr:rowOff>127800</xdr:rowOff>
    </xdr:to>
    <xdr:pic>
      <xdr:nvPicPr>
        <xdr:cNvPr id="18" name="Picture 11" descr=""/>
        <xdr:cNvPicPr/>
      </xdr:nvPicPr>
      <xdr:blipFill>
        <a:blip r:embed="rId19"/>
        <a:stretch/>
      </xdr:blipFill>
      <xdr:spPr>
        <a:xfrm rot="16200000">
          <a:off x="39750120" y="3441240"/>
          <a:ext cx="561240" cy="1493640"/>
        </a:xfrm>
        <a:prstGeom prst="rect">
          <a:avLst/>
        </a:prstGeom>
        <a:ln w="0">
          <a:noFill/>
        </a:ln>
      </xdr:spPr>
    </xdr:pic>
    <xdr:clientData/>
  </xdr:twoCellAnchor>
</xdr:wsDr>
</file>

<file path=xl/worksheets/_rels/sheet1.xml.rels><?xml version="1.0" encoding="UTF-8"?>
<Relationships xmlns="http://schemas.openxmlformats.org/package/2006/relationships"><Relationship Id="rId1" Type="http://schemas.openxmlformats.org/officeDocument/2006/relationships/hyperlink" Target="mailto:contact@myengineeringtools.com" TargetMode="External"/><Relationship Id="rId2" Type="http://schemas.openxmlformats.org/officeDocument/2006/relationships/hyperlink" Target="http://www.MyEngineeringTools.com/" TargetMode="External"/><Relationship Id="rId3"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CJ49"/>
  <sheetViews>
    <sheetView showFormulas="false" showGridLines="true" showRowColHeaders="true" showZeros="true" rightToLeft="false" tabSelected="true" showOutlineSymbols="true" defaultGridColor="true" view="normal" topLeftCell="A1" colorId="64" zoomScale="65" zoomScaleNormal="65" zoomScalePageLayoutView="100" workbookViewId="0">
      <selection pane="topLeft" activeCell="C13" activeCellId="0" sqref="C13"/>
    </sheetView>
  </sheetViews>
  <sheetFormatPr defaultColWidth="8.6953125" defaultRowHeight="12.8" zeroHeight="false" outlineLevelRow="0" outlineLevelCol="0"/>
  <cols>
    <col collapsed="false" customWidth="true" hidden="false" outlineLevel="0" max="2" min="2" style="0" width="12.86"/>
    <col collapsed="false" customWidth="true" hidden="false" outlineLevel="0" max="3" min="3" style="0" width="11.86"/>
    <col collapsed="false" customWidth="true" hidden="false" outlineLevel="0" max="5" min="4" style="0" width="15.42"/>
    <col collapsed="false" customWidth="true" hidden="false" outlineLevel="0" max="6" min="6" style="0" width="18"/>
    <col collapsed="false" customWidth="true" hidden="false" outlineLevel="0" max="7" min="7" style="0" width="14.28"/>
    <col collapsed="false" customWidth="true" hidden="false" outlineLevel="0" max="8" min="8" style="0" width="12.57"/>
    <col collapsed="false" customWidth="true" hidden="false" outlineLevel="0" max="9" min="9" style="0" width="15.71"/>
    <col collapsed="false" customWidth="true" hidden="false" outlineLevel="0" max="10" min="10" style="0" width="12.71"/>
    <col collapsed="false" customWidth="true" hidden="false" outlineLevel="0" max="11" min="11" style="0" width="19.71"/>
    <col collapsed="false" customWidth="true" hidden="false" outlineLevel="0" max="12" min="12" style="0" width="14.57"/>
    <col collapsed="false" customWidth="true" hidden="false" outlineLevel="0" max="13" min="13" style="0" width="19.99"/>
    <col collapsed="false" customWidth="true" hidden="false" outlineLevel="0" max="14" min="14" style="0" width="14.01"/>
    <col collapsed="false" customWidth="true" hidden="false" outlineLevel="0" max="15" min="15" style="0" width="12.57"/>
    <col collapsed="false" customWidth="true" hidden="false" outlineLevel="0" max="17" min="16" style="0" width="14.86"/>
    <col collapsed="false" customWidth="true" hidden="false" outlineLevel="0" max="18" min="18" style="0" width="9.29"/>
    <col collapsed="false" customWidth="true" hidden="false" outlineLevel="0" max="44" min="44" style="0" width="11.99"/>
    <col collapsed="false" customWidth="true" hidden="false" outlineLevel="0" max="83" min="83" style="0" width="25.86"/>
    <col collapsed="false" customWidth="true" hidden="false" outlineLevel="0" max="86" min="86" style="0" width="10.12"/>
  </cols>
  <sheetData>
    <row r="1" s="2" customFormat="true" ht="12.8" hidden="false" customHeight="false" outlineLevel="0" collapsed="false">
      <c r="A1" s="1" t="s">
        <v>0</v>
      </c>
    </row>
    <row r="3" customFormat="false" ht="12.8" hidden="false" customHeight="false" outlineLevel="0" collapsed="false">
      <c r="A3" s="0" t="s">
        <v>1</v>
      </c>
    </row>
    <row r="4" customFormat="false" ht="12.8" hidden="false" customHeight="false" outlineLevel="0" collapsed="false">
      <c r="A4" s="0" t="s">
        <v>2</v>
      </c>
    </row>
    <row r="6" customFormat="false" ht="12.8" hidden="false" customHeight="false" outlineLevel="0" collapsed="false">
      <c r="B6" s="0" t="s">
        <v>3</v>
      </c>
    </row>
    <row r="7" customFormat="false" ht="12.8" hidden="false" customHeight="false" outlineLevel="0" collapsed="false">
      <c r="B7" s="0" t="n">
        <v>1</v>
      </c>
      <c r="C7" s="0" t="s">
        <v>4</v>
      </c>
      <c r="AH7" s="0" t="s">
        <v>5</v>
      </c>
      <c r="AI7" s="0" t="s">
        <v>5</v>
      </c>
    </row>
    <row r="8" customFormat="false" ht="12.8" hidden="false" customHeight="false" outlineLevel="0" collapsed="false">
      <c r="B8" s="0" t="n">
        <v>2</v>
      </c>
      <c r="C8" s="0" t="s">
        <v>6</v>
      </c>
      <c r="AH8" s="0" t="s">
        <v>7</v>
      </c>
      <c r="AI8" s="0" t="s">
        <v>8</v>
      </c>
    </row>
    <row r="9" customFormat="false" ht="12.8" hidden="false" customHeight="false" outlineLevel="0" collapsed="false">
      <c r="B9" s="0" t="n">
        <v>3</v>
      </c>
      <c r="C9" s="0" t="s">
        <v>9</v>
      </c>
      <c r="AI9" s="0" t="s">
        <v>7</v>
      </c>
    </row>
    <row r="11" customFormat="false" ht="13.8" hidden="false" customHeight="false" outlineLevel="0" collapsed="false">
      <c r="B11" s="3" t="s">
        <v>10</v>
      </c>
      <c r="C11" s="4" t="s">
        <v>11</v>
      </c>
      <c r="AI11" s="0" t="s">
        <v>12</v>
      </c>
    </row>
    <row r="13" customFormat="false" ht="13.8" hidden="false" customHeight="false" outlineLevel="0" collapsed="false">
      <c r="B13" s="5" t="s">
        <v>13</v>
      </c>
      <c r="C13" s="6" t="n">
        <v>49000</v>
      </c>
      <c r="D13" s="7" t="s">
        <v>14</v>
      </c>
      <c r="E13" s="8"/>
    </row>
    <row r="14" customFormat="false" ht="13.8" hidden="false" customHeight="false" outlineLevel="0" collapsed="false">
      <c r="B14" s="9" t="s">
        <v>15</v>
      </c>
      <c r="C14" s="10" t="n">
        <f aca="false">CJ37</f>
        <v>0.428986127439918</v>
      </c>
      <c r="D14" s="11" t="s">
        <v>16</v>
      </c>
      <c r="E14" s="8"/>
    </row>
    <row r="15" customFormat="false" ht="12.8" hidden="false" customHeight="false" outlineLevel="0" collapsed="false">
      <c r="P15" s="12"/>
      <c r="S15" s="5"/>
      <c r="T15" s="13"/>
      <c r="U15" s="7"/>
      <c r="V15" s="5"/>
      <c r="W15" s="13"/>
      <c r="X15" s="7"/>
      <c r="Y15" s="5"/>
      <c r="Z15" s="13"/>
      <c r="AA15" s="7"/>
      <c r="AB15" s="5"/>
      <c r="AC15" s="13"/>
      <c r="AD15" s="7"/>
      <c r="AE15" s="5"/>
      <c r="AF15" s="13"/>
      <c r="AG15" s="7"/>
      <c r="AH15" s="5"/>
      <c r="AI15" s="13"/>
      <c r="AJ15" s="7"/>
      <c r="AK15" s="5"/>
      <c r="AL15" s="13"/>
      <c r="AM15" s="7"/>
      <c r="AN15" s="5"/>
      <c r="AO15" s="13"/>
      <c r="AP15" s="7"/>
      <c r="AQ15" s="5"/>
      <c r="AR15" s="13"/>
      <c r="AS15" s="7"/>
      <c r="AT15" s="5"/>
      <c r="AU15" s="13"/>
      <c r="AV15" s="7"/>
      <c r="AW15" s="5"/>
      <c r="AX15" s="13"/>
      <c r="AY15" s="7"/>
      <c r="AZ15" s="5"/>
      <c r="BA15" s="13"/>
      <c r="BB15" s="7"/>
      <c r="BC15" s="5"/>
      <c r="BD15" s="13"/>
      <c r="BE15" s="7"/>
      <c r="BF15" s="5"/>
      <c r="BG15" s="13"/>
      <c r="BH15" s="7"/>
      <c r="BI15" s="5"/>
      <c r="BJ15" s="13"/>
      <c r="BK15" s="13"/>
      <c r="BL15" s="7"/>
      <c r="BM15" s="5"/>
      <c r="BN15" s="13"/>
      <c r="BO15" s="13"/>
      <c r="BP15" s="7"/>
      <c r="BQ15" s="5"/>
      <c r="BR15" s="13"/>
      <c r="BS15" s="13"/>
      <c r="BT15" s="7"/>
      <c r="BU15" s="5"/>
      <c r="BV15" s="13"/>
      <c r="BW15" s="13"/>
      <c r="BX15" s="13"/>
      <c r="BY15" s="13"/>
      <c r="BZ15" s="7"/>
      <c r="CA15" s="5"/>
      <c r="CB15" s="13"/>
      <c r="CC15" s="13"/>
      <c r="CD15" s="7"/>
      <c r="CE15" s="14" t="s">
        <v>17</v>
      </c>
    </row>
    <row r="16" customFormat="false" ht="13.8" hidden="false" customHeight="false" outlineLevel="0" collapsed="false">
      <c r="B16" s="15" t="s">
        <v>18</v>
      </c>
      <c r="C16" s="15"/>
      <c r="D16" s="15"/>
      <c r="E16" s="15"/>
      <c r="S16" s="16"/>
      <c r="T16" s="8"/>
      <c r="U16" s="17"/>
      <c r="V16" s="16"/>
      <c r="W16" s="8"/>
      <c r="X16" s="17"/>
      <c r="Y16" s="16"/>
      <c r="Z16" s="8"/>
      <c r="AA16" s="17"/>
      <c r="AB16" s="16"/>
      <c r="AC16" s="8"/>
      <c r="AD16" s="17"/>
      <c r="AE16" s="16"/>
      <c r="AF16" s="8"/>
      <c r="AG16" s="17"/>
      <c r="AH16" s="16"/>
      <c r="AI16" s="8"/>
      <c r="AJ16" s="17"/>
      <c r="AK16" s="16"/>
      <c r="AL16" s="8"/>
      <c r="AM16" s="17"/>
      <c r="AN16" s="16"/>
      <c r="AO16" s="8"/>
      <c r="AP16" s="17"/>
      <c r="AQ16" s="16"/>
      <c r="AR16" s="8"/>
      <c r="AS16" s="17"/>
      <c r="AT16" s="16"/>
      <c r="AU16" s="8"/>
      <c r="AV16" s="17"/>
      <c r="AW16" s="16"/>
      <c r="AX16" s="8"/>
      <c r="AY16" s="17"/>
      <c r="AZ16" s="16"/>
      <c r="BA16" s="8"/>
      <c r="BB16" s="17"/>
      <c r="BC16" s="16"/>
      <c r="BD16" s="8"/>
      <c r="BE16" s="17"/>
      <c r="BF16" s="16"/>
      <c r="BG16" s="8"/>
      <c r="BH16" s="17"/>
      <c r="BI16" s="16"/>
      <c r="BJ16" s="8"/>
      <c r="BK16" s="8"/>
      <c r="BL16" s="17"/>
      <c r="BM16" s="16"/>
      <c r="BN16" s="8"/>
      <c r="BO16" s="8"/>
      <c r="BP16" s="17"/>
      <c r="BQ16" s="16"/>
      <c r="BR16" s="8"/>
      <c r="BS16" s="8"/>
      <c r="BT16" s="17"/>
      <c r="BU16" s="16"/>
      <c r="BV16" s="8"/>
      <c r="BW16" s="8"/>
      <c r="BX16" s="8"/>
      <c r="BY16" s="8"/>
      <c r="BZ16" s="17"/>
      <c r="CA16" s="16"/>
      <c r="CB16" s="8"/>
      <c r="CC16" s="8"/>
      <c r="CD16" s="17"/>
      <c r="CE16" s="14"/>
    </row>
    <row r="17" customFormat="false" ht="13.8" hidden="false" customHeight="false" outlineLevel="0" collapsed="false">
      <c r="B17" s="5" t="s">
        <v>19</v>
      </c>
      <c r="C17" s="6" t="n">
        <v>0.429</v>
      </c>
      <c r="D17" s="7" t="s">
        <v>16</v>
      </c>
      <c r="E17" s="8"/>
      <c r="S17" s="16"/>
      <c r="T17" s="8"/>
      <c r="U17" s="17"/>
      <c r="V17" s="16"/>
      <c r="W17" s="8"/>
      <c r="X17" s="17"/>
      <c r="Y17" s="16"/>
      <c r="Z17" s="8"/>
      <c r="AA17" s="17"/>
      <c r="AB17" s="16"/>
      <c r="AC17" s="8"/>
      <c r="AD17" s="17"/>
      <c r="AE17" s="16"/>
      <c r="AF17" s="8"/>
      <c r="AG17" s="17"/>
      <c r="AH17" s="16"/>
      <c r="AI17" s="8"/>
      <c r="AJ17" s="17"/>
      <c r="AK17" s="16"/>
      <c r="AL17" s="8"/>
      <c r="AM17" s="17"/>
      <c r="AN17" s="16"/>
      <c r="AO17" s="8"/>
      <c r="AP17" s="17"/>
      <c r="AQ17" s="16"/>
      <c r="AR17" s="8"/>
      <c r="AS17" s="17"/>
      <c r="AT17" s="16"/>
      <c r="AU17" s="8"/>
      <c r="AV17" s="17"/>
      <c r="AW17" s="16"/>
      <c r="AX17" s="8"/>
      <c r="AY17" s="17"/>
      <c r="AZ17" s="16"/>
      <c r="BA17" s="8"/>
      <c r="BB17" s="17"/>
      <c r="BC17" s="16"/>
      <c r="BD17" s="8"/>
      <c r="BE17" s="17"/>
      <c r="BF17" s="16"/>
      <c r="BG17" s="8"/>
      <c r="BH17" s="17"/>
      <c r="BI17" s="16"/>
      <c r="BJ17" s="8"/>
      <c r="BK17" s="8"/>
      <c r="BL17" s="17"/>
      <c r="BM17" s="16"/>
      <c r="BN17" s="8"/>
      <c r="BO17" s="8"/>
      <c r="BP17" s="17"/>
      <c r="BQ17" s="16"/>
      <c r="BR17" s="8"/>
      <c r="BS17" s="8"/>
      <c r="BT17" s="17"/>
      <c r="BU17" s="16"/>
      <c r="BV17" s="8"/>
      <c r="BW17" s="8"/>
      <c r="BX17" s="8"/>
      <c r="BY17" s="8"/>
      <c r="BZ17" s="17"/>
      <c r="CA17" s="16"/>
      <c r="CB17" s="8"/>
      <c r="CC17" s="8"/>
      <c r="CD17" s="17"/>
      <c r="CE17" s="14"/>
    </row>
    <row r="18" customFormat="false" ht="13.8" hidden="false" customHeight="false" outlineLevel="0" collapsed="false">
      <c r="B18" s="9" t="s">
        <v>20</v>
      </c>
      <c r="C18" s="10" t="n">
        <f aca="false">C17-C14</f>
        <v>1.38725600818956E-005</v>
      </c>
      <c r="D18" s="11"/>
      <c r="E18" s="0" t="s">
        <v>21</v>
      </c>
      <c r="S18" s="16"/>
      <c r="T18" s="8"/>
      <c r="U18" s="17"/>
      <c r="V18" s="16"/>
      <c r="W18" s="8"/>
      <c r="X18" s="17"/>
      <c r="Y18" s="16"/>
      <c r="Z18" s="8"/>
      <c r="AA18" s="17"/>
      <c r="AB18" s="16"/>
      <c r="AC18" s="8"/>
      <c r="AD18" s="17"/>
      <c r="AE18" s="16"/>
      <c r="AF18" s="8"/>
      <c r="AG18" s="17"/>
      <c r="AH18" s="16"/>
      <c r="AI18" s="8"/>
      <c r="AJ18" s="17"/>
      <c r="AK18" s="16"/>
      <c r="AL18" s="8"/>
      <c r="AM18" s="17"/>
      <c r="AN18" s="16"/>
      <c r="AO18" s="8"/>
      <c r="AP18" s="17"/>
      <c r="AQ18" s="16"/>
      <c r="AR18" s="8"/>
      <c r="AS18" s="17"/>
      <c r="AT18" s="16"/>
      <c r="AU18" s="8"/>
      <c r="AV18" s="17"/>
      <c r="AW18" s="16"/>
      <c r="AX18" s="8"/>
      <c r="AY18" s="17"/>
      <c r="AZ18" s="16"/>
      <c r="BA18" s="8"/>
      <c r="BB18" s="17"/>
      <c r="BC18" s="16"/>
      <c r="BD18" s="8"/>
      <c r="BE18" s="17"/>
      <c r="BF18" s="16"/>
      <c r="BG18" s="8"/>
      <c r="BH18" s="17"/>
      <c r="BI18" s="16"/>
      <c r="BJ18" s="8"/>
      <c r="BK18" s="8"/>
      <c r="BL18" s="17"/>
      <c r="BM18" s="16"/>
      <c r="BN18" s="8"/>
      <c r="BO18" s="8"/>
      <c r="BP18" s="17"/>
      <c r="BQ18" s="16"/>
      <c r="BR18" s="8"/>
      <c r="BS18" s="8"/>
      <c r="BT18" s="17"/>
      <c r="BU18" s="16"/>
      <c r="BV18" s="8"/>
      <c r="BW18" s="8"/>
      <c r="BX18" s="8"/>
      <c r="BY18" s="8"/>
      <c r="BZ18" s="17"/>
      <c r="CA18" s="16"/>
      <c r="CB18" s="8"/>
      <c r="CC18" s="8"/>
      <c r="CD18" s="17"/>
      <c r="CE18" s="14"/>
    </row>
    <row r="19" customFormat="false" ht="12.8" hidden="false" customHeight="false" outlineLevel="0" collapsed="false">
      <c r="S19" s="16"/>
      <c r="T19" s="8"/>
      <c r="U19" s="17"/>
      <c r="V19" s="16"/>
      <c r="W19" s="8"/>
      <c r="X19" s="17"/>
      <c r="Y19" s="16"/>
      <c r="Z19" s="8"/>
      <c r="AA19" s="17"/>
      <c r="AB19" s="16"/>
      <c r="AC19" s="8"/>
      <c r="AD19" s="17"/>
      <c r="AE19" s="16"/>
      <c r="AF19" s="8"/>
      <c r="AG19" s="17"/>
      <c r="AH19" s="16"/>
      <c r="AI19" s="8"/>
      <c r="AJ19" s="17"/>
      <c r="AK19" s="16"/>
      <c r="AL19" s="8"/>
      <c r="AM19" s="17"/>
      <c r="AN19" s="16"/>
      <c r="AO19" s="8"/>
      <c r="AP19" s="17"/>
      <c r="AQ19" s="16"/>
      <c r="AR19" s="8"/>
      <c r="AS19" s="17"/>
      <c r="AT19" s="16"/>
      <c r="AU19" s="8"/>
      <c r="AV19" s="17"/>
      <c r="AW19" s="16"/>
      <c r="AX19" s="8"/>
      <c r="AY19" s="17"/>
      <c r="AZ19" s="16"/>
      <c r="BA19" s="8"/>
      <c r="BB19" s="17"/>
      <c r="BC19" s="16"/>
      <c r="BD19" s="8"/>
      <c r="BE19" s="17"/>
      <c r="BF19" s="16"/>
      <c r="BG19" s="8"/>
      <c r="BH19" s="17"/>
      <c r="BI19" s="16"/>
      <c r="BJ19" s="8"/>
      <c r="BK19" s="8"/>
      <c r="BL19" s="17"/>
      <c r="BM19" s="16"/>
      <c r="BN19" s="8"/>
      <c r="BO19" s="8"/>
      <c r="BP19" s="17"/>
      <c r="BQ19" s="16"/>
      <c r="BR19" s="8"/>
      <c r="BS19" s="8"/>
      <c r="BT19" s="17"/>
      <c r="BU19" s="16"/>
      <c r="BV19" s="8"/>
      <c r="BW19" s="8"/>
      <c r="BX19" s="8"/>
      <c r="BY19" s="8"/>
      <c r="BZ19" s="17"/>
      <c r="CA19" s="16"/>
      <c r="CB19" s="8"/>
      <c r="CC19" s="8"/>
      <c r="CD19" s="17"/>
      <c r="CE19" s="14"/>
    </row>
    <row r="20" customFormat="false" ht="12.8" hidden="false" customHeight="false" outlineLevel="0" collapsed="false">
      <c r="S20" s="16"/>
      <c r="T20" s="8"/>
      <c r="U20" s="17"/>
      <c r="V20" s="16"/>
      <c r="W20" s="8"/>
      <c r="X20" s="17"/>
      <c r="Y20" s="16"/>
      <c r="Z20" s="8"/>
      <c r="AA20" s="17"/>
      <c r="AB20" s="16"/>
      <c r="AC20" s="8"/>
      <c r="AD20" s="17"/>
      <c r="AE20" s="16"/>
      <c r="AF20" s="8"/>
      <c r="AG20" s="17"/>
      <c r="AH20" s="16"/>
      <c r="AI20" s="8"/>
      <c r="AJ20" s="17"/>
      <c r="AK20" s="16"/>
      <c r="AL20" s="8"/>
      <c r="AM20" s="17"/>
      <c r="AN20" s="16"/>
      <c r="AO20" s="8"/>
      <c r="AP20" s="17"/>
      <c r="AQ20" s="16"/>
      <c r="AR20" s="8"/>
      <c r="AS20" s="17"/>
      <c r="AT20" s="16"/>
      <c r="AU20" s="8"/>
      <c r="AV20" s="17"/>
      <c r="AW20" s="16"/>
      <c r="AX20" s="8"/>
      <c r="AY20" s="17"/>
      <c r="AZ20" s="16"/>
      <c r="BA20" s="8"/>
      <c r="BB20" s="17"/>
      <c r="BC20" s="16"/>
      <c r="BD20" s="8"/>
      <c r="BE20" s="17"/>
      <c r="BF20" s="16"/>
      <c r="BG20" s="8"/>
      <c r="BH20" s="17"/>
      <c r="BI20" s="16"/>
      <c r="BJ20" s="8"/>
      <c r="BK20" s="8"/>
      <c r="BL20" s="17"/>
      <c r="BM20" s="16"/>
      <c r="BN20" s="8"/>
      <c r="BO20" s="8"/>
      <c r="BP20" s="17"/>
      <c r="BQ20" s="16"/>
      <c r="BR20" s="8"/>
      <c r="BS20" s="8"/>
      <c r="BT20" s="17"/>
      <c r="BU20" s="16"/>
      <c r="BV20" s="8"/>
      <c r="BW20" s="8"/>
      <c r="BX20" s="8"/>
      <c r="BY20" s="8"/>
      <c r="BZ20" s="17"/>
      <c r="CA20" s="16"/>
      <c r="CB20" s="8"/>
      <c r="CC20" s="8"/>
      <c r="CD20" s="17"/>
      <c r="CE20" s="14"/>
    </row>
    <row r="21" customFormat="false" ht="12.8" hidden="false" customHeight="false" outlineLevel="0" collapsed="false">
      <c r="S21" s="16"/>
      <c r="T21" s="8"/>
      <c r="U21" s="17"/>
      <c r="V21" s="16"/>
      <c r="W21" s="8"/>
      <c r="X21" s="17"/>
      <c r="Y21" s="16"/>
      <c r="Z21" s="8"/>
      <c r="AA21" s="17"/>
      <c r="AB21" s="16"/>
      <c r="AC21" s="8"/>
      <c r="AD21" s="17"/>
      <c r="AE21" s="16"/>
      <c r="AF21" s="8"/>
      <c r="AG21" s="17"/>
      <c r="AH21" s="16"/>
      <c r="AI21" s="8"/>
      <c r="AJ21" s="17"/>
      <c r="AK21" s="16"/>
      <c r="AL21" s="8"/>
      <c r="AM21" s="17"/>
      <c r="AN21" s="16"/>
      <c r="AO21" s="8"/>
      <c r="AP21" s="17"/>
      <c r="AQ21" s="16"/>
      <c r="AR21" s="8"/>
      <c r="AS21" s="17"/>
      <c r="AT21" s="16"/>
      <c r="AU21" s="8"/>
      <c r="AV21" s="17"/>
      <c r="AW21" s="16"/>
      <c r="AX21" s="8"/>
      <c r="AY21" s="17"/>
      <c r="AZ21" s="16"/>
      <c r="BA21" s="8"/>
      <c r="BB21" s="17"/>
      <c r="BC21" s="16"/>
      <c r="BD21" s="8"/>
      <c r="BE21" s="17"/>
      <c r="BF21" s="16"/>
      <c r="BG21" s="8"/>
      <c r="BH21" s="17"/>
      <c r="BI21" s="16"/>
      <c r="BJ21" s="8"/>
      <c r="BK21" s="8"/>
      <c r="BL21" s="17"/>
      <c r="BM21" s="16"/>
      <c r="BN21" s="8"/>
      <c r="BO21" s="8"/>
      <c r="BP21" s="17"/>
      <c r="BQ21" s="16"/>
      <c r="BR21" s="8"/>
      <c r="BS21" s="8"/>
      <c r="BT21" s="17"/>
      <c r="BU21" s="16"/>
      <c r="BV21" s="8"/>
      <c r="BW21" s="8"/>
      <c r="BX21" s="8"/>
      <c r="BY21" s="8"/>
      <c r="BZ21" s="17"/>
      <c r="CA21" s="16"/>
      <c r="CB21" s="8"/>
      <c r="CC21" s="8"/>
      <c r="CD21" s="17"/>
      <c r="CE21" s="14"/>
    </row>
    <row r="22" customFormat="false" ht="13.8" hidden="false" customHeight="false" outlineLevel="0" collapsed="false">
      <c r="N22" s="18"/>
      <c r="S22" s="16"/>
      <c r="T22" s="8"/>
      <c r="U22" s="17"/>
      <c r="V22" s="16"/>
      <c r="W22" s="8"/>
      <c r="X22" s="17"/>
      <c r="Y22" s="16"/>
      <c r="Z22" s="8"/>
      <c r="AA22" s="17"/>
      <c r="AB22" s="16"/>
      <c r="AC22" s="8"/>
      <c r="AD22" s="17"/>
      <c r="AE22" s="16"/>
      <c r="AF22" s="8"/>
      <c r="AG22" s="17"/>
      <c r="AH22" s="16"/>
      <c r="AI22" s="8"/>
      <c r="AJ22" s="17"/>
      <c r="AK22" s="16"/>
      <c r="AL22" s="8"/>
      <c r="AM22" s="17"/>
      <c r="AN22" s="16"/>
      <c r="AO22" s="8"/>
      <c r="AP22" s="17"/>
      <c r="AQ22" s="16"/>
      <c r="AR22" s="8"/>
      <c r="AS22" s="17"/>
      <c r="AT22" s="16"/>
      <c r="AU22" s="8"/>
      <c r="AV22" s="17"/>
      <c r="AW22" s="16"/>
      <c r="AX22" s="8"/>
      <c r="AY22" s="17"/>
      <c r="AZ22" s="16"/>
      <c r="BA22" s="8"/>
      <c r="BB22" s="17"/>
      <c r="BC22" s="16"/>
      <c r="BD22" s="8"/>
      <c r="BE22" s="17"/>
      <c r="BF22" s="16"/>
      <c r="BG22" s="8"/>
      <c r="BH22" s="17"/>
      <c r="BI22" s="16"/>
      <c r="BJ22" s="8"/>
      <c r="BK22" s="8"/>
      <c r="BL22" s="17"/>
      <c r="BM22" s="16"/>
      <c r="BN22" s="8"/>
      <c r="BO22" s="8"/>
      <c r="BP22" s="17"/>
      <c r="BQ22" s="16"/>
      <c r="BR22" s="8"/>
      <c r="BS22" s="8"/>
      <c r="BT22" s="17"/>
      <c r="BU22" s="16"/>
      <c r="BV22" s="8"/>
      <c r="BW22" s="8"/>
      <c r="BX22" s="8"/>
      <c r="BY22" s="8"/>
      <c r="BZ22" s="17"/>
      <c r="CA22" s="16"/>
      <c r="CB22" s="8"/>
      <c r="CC22" s="8"/>
      <c r="CD22" s="17"/>
      <c r="CE22" s="14"/>
      <c r="CH22" s="18"/>
    </row>
    <row r="23" customFormat="false" ht="12.8" hidden="false" customHeight="false" outlineLevel="0" collapsed="false">
      <c r="S23" s="16"/>
      <c r="T23" s="8"/>
      <c r="U23" s="17"/>
      <c r="V23" s="16"/>
      <c r="W23" s="8"/>
      <c r="X23" s="17"/>
      <c r="Y23" s="16"/>
      <c r="Z23" s="8"/>
      <c r="AA23" s="17"/>
      <c r="AB23" s="16"/>
      <c r="AC23" s="8"/>
      <c r="AD23" s="17"/>
      <c r="AE23" s="16"/>
      <c r="AF23" s="8"/>
      <c r="AG23" s="17"/>
      <c r="AH23" s="16"/>
      <c r="AI23" s="8"/>
      <c r="AJ23" s="17"/>
      <c r="AK23" s="16"/>
      <c r="AL23" s="8"/>
      <c r="AM23" s="17"/>
      <c r="AN23" s="16"/>
      <c r="AO23" s="8"/>
      <c r="AP23" s="17"/>
      <c r="AQ23" s="16"/>
      <c r="AR23" s="8"/>
      <c r="AS23" s="17"/>
      <c r="AT23" s="16"/>
      <c r="AU23" s="8"/>
      <c r="AV23" s="17"/>
      <c r="AW23" s="16"/>
      <c r="AX23" s="8"/>
      <c r="AY23" s="17"/>
      <c r="AZ23" s="16"/>
      <c r="BA23" s="8"/>
      <c r="BB23" s="17"/>
      <c r="BC23" s="16"/>
      <c r="BD23" s="8"/>
      <c r="BE23" s="17"/>
      <c r="BF23" s="16"/>
      <c r="BG23" s="8"/>
      <c r="BH23" s="17"/>
      <c r="BI23" s="16"/>
      <c r="BJ23" s="8"/>
      <c r="BK23" s="8"/>
      <c r="BL23" s="17"/>
      <c r="BM23" s="16"/>
      <c r="BN23" s="8"/>
      <c r="BO23" s="8"/>
      <c r="BP23" s="17"/>
      <c r="BQ23" s="16" t="s">
        <v>22</v>
      </c>
      <c r="BR23" s="8"/>
      <c r="BS23" s="8"/>
      <c r="BT23" s="17"/>
      <c r="BU23" s="16"/>
      <c r="BV23" s="8"/>
      <c r="BW23" s="8"/>
      <c r="BX23" s="8"/>
      <c r="BY23" s="8"/>
      <c r="BZ23" s="17"/>
      <c r="CA23" s="16"/>
      <c r="CB23" s="8"/>
      <c r="CC23" s="8"/>
      <c r="CD23" s="17"/>
      <c r="CE23" s="14"/>
    </row>
    <row r="24" customFormat="false" ht="13.8" hidden="false" customHeight="false" outlineLevel="0" collapsed="false">
      <c r="B24" s="19" t="s">
        <v>23</v>
      </c>
      <c r="C24" s="19" t="s">
        <v>24</v>
      </c>
      <c r="D24" s="19" t="s">
        <v>25</v>
      </c>
      <c r="E24" s="19" t="s">
        <v>26</v>
      </c>
      <c r="F24" s="19" t="s">
        <v>27</v>
      </c>
      <c r="G24" s="19" t="s">
        <v>28</v>
      </c>
      <c r="H24" s="19" t="s">
        <v>29</v>
      </c>
      <c r="I24" s="19" t="s">
        <v>30</v>
      </c>
      <c r="J24" s="19" t="s">
        <v>31</v>
      </c>
      <c r="K24" s="19" t="s">
        <v>32</v>
      </c>
      <c r="L24" s="19" t="s">
        <v>33</v>
      </c>
      <c r="M24" s="19" t="s">
        <v>34</v>
      </c>
      <c r="N24" s="19" t="s">
        <v>35</v>
      </c>
      <c r="O24" s="19" t="s">
        <v>36</v>
      </c>
      <c r="P24" s="20" t="s">
        <v>37</v>
      </c>
      <c r="Q24" s="20"/>
      <c r="R24" s="20"/>
      <c r="S24" s="21" t="s">
        <v>38</v>
      </c>
      <c r="T24" s="8"/>
      <c r="U24" s="17"/>
      <c r="V24" s="21" t="s">
        <v>38</v>
      </c>
      <c r="W24" s="8"/>
      <c r="X24" s="17"/>
      <c r="Y24" s="21" t="s">
        <v>38</v>
      </c>
      <c r="Z24" s="8"/>
      <c r="AA24" s="17"/>
      <c r="AB24" s="21" t="s">
        <v>38</v>
      </c>
      <c r="AC24" s="8"/>
      <c r="AD24" s="17"/>
      <c r="AE24" s="16"/>
      <c r="AF24" s="8"/>
      <c r="AG24" s="17"/>
      <c r="AH24" s="16"/>
      <c r="AI24" s="8"/>
      <c r="AJ24" s="17"/>
      <c r="AK24" s="16"/>
      <c r="AL24" s="8"/>
      <c r="AM24" s="17"/>
      <c r="AN24" s="16"/>
      <c r="AO24" s="8"/>
      <c r="AP24" s="17"/>
      <c r="AQ24" s="16"/>
      <c r="AR24" s="8"/>
      <c r="AS24" s="17"/>
      <c r="AT24" s="16"/>
      <c r="AU24" s="8"/>
      <c r="AV24" s="17"/>
      <c r="AW24" s="16"/>
      <c r="AX24" s="8"/>
      <c r="AY24" s="17"/>
      <c r="AZ24" s="16"/>
      <c r="BA24" s="8"/>
      <c r="BB24" s="17"/>
      <c r="BC24" s="16"/>
      <c r="BD24" s="8"/>
      <c r="BE24" s="17"/>
      <c r="BF24" s="16"/>
      <c r="BG24" s="8"/>
      <c r="BH24" s="17"/>
      <c r="BI24" s="16"/>
      <c r="BJ24" s="8"/>
      <c r="BK24" s="8"/>
      <c r="BL24" s="17"/>
      <c r="BM24" s="16"/>
      <c r="BN24" s="8"/>
      <c r="BO24" s="8"/>
      <c r="BP24" s="17"/>
      <c r="BQ24" s="16"/>
      <c r="BR24" s="8"/>
      <c r="BS24" s="8"/>
      <c r="BT24" s="17"/>
      <c r="BU24" s="16"/>
      <c r="BV24" s="8"/>
      <c r="BW24" s="8"/>
      <c r="BX24" s="8"/>
      <c r="BY24" s="8"/>
      <c r="BZ24" s="17"/>
      <c r="CA24" s="16"/>
      <c r="CB24" s="8"/>
      <c r="CC24" s="8"/>
      <c r="CD24" s="17"/>
      <c r="CE24" s="14"/>
    </row>
    <row r="25" customFormat="false" ht="13.8" hidden="false" customHeight="false" outlineLevel="0" collapsed="false">
      <c r="B25" s="22"/>
      <c r="C25" s="22"/>
      <c r="D25" s="22" t="s">
        <v>39</v>
      </c>
      <c r="E25" s="22" t="s">
        <v>26</v>
      </c>
      <c r="F25" s="22" t="s">
        <v>40</v>
      </c>
      <c r="G25" s="22" t="s">
        <v>41</v>
      </c>
      <c r="H25" s="22" t="s">
        <v>42</v>
      </c>
      <c r="I25" s="22" t="s">
        <v>43</v>
      </c>
      <c r="J25" s="22" t="s">
        <v>44</v>
      </c>
      <c r="K25" s="22" t="s">
        <v>45</v>
      </c>
      <c r="L25" s="22" t="s">
        <v>46</v>
      </c>
      <c r="M25" s="22" t="s">
        <v>47</v>
      </c>
      <c r="N25" s="22" t="s">
        <v>48</v>
      </c>
      <c r="O25" s="22" t="s">
        <v>49</v>
      </c>
      <c r="P25" s="19" t="s">
        <v>50</v>
      </c>
      <c r="Q25" s="19" t="s">
        <v>51</v>
      </c>
      <c r="R25" s="23" t="s">
        <v>52</v>
      </c>
      <c r="S25" s="16" t="s">
        <v>53</v>
      </c>
      <c r="T25" s="8"/>
      <c r="U25" s="17" t="s">
        <v>54</v>
      </c>
      <c r="V25" s="16" t="s">
        <v>53</v>
      </c>
      <c r="W25" s="8"/>
      <c r="X25" s="17" t="s">
        <v>55</v>
      </c>
      <c r="Y25" s="24" t="s">
        <v>56</v>
      </c>
      <c r="Z25" s="8"/>
      <c r="AA25" s="17" t="s">
        <v>54</v>
      </c>
      <c r="AB25" s="24" t="s">
        <v>56</v>
      </c>
      <c r="AC25" s="8"/>
      <c r="AD25" s="17" t="s">
        <v>55</v>
      </c>
      <c r="AE25" s="24" t="s">
        <v>57</v>
      </c>
      <c r="AF25" s="8"/>
      <c r="AG25" s="17"/>
      <c r="AH25" s="16" t="s">
        <v>58</v>
      </c>
      <c r="AI25" s="8"/>
      <c r="AJ25" s="25" t="s">
        <v>5</v>
      </c>
      <c r="AK25" s="16" t="s">
        <v>59</v>
      </c>
      <c r="AL25" s="8"/>
      <c r="AM25" s="25" t="s">
        <v>5</v>
      </c>
      <c r="AN25" s="16" t="s">
        <v>60</v>
      </c>
      <c r="AO25" s="8"/>
      <c r="AP25" s="25" t="s">
        <v>5</v>
      </c>
      <c r="AQ25" s="16" t="s">
        <v>61</v>
      </c>
      <c r="AR25" s="8"/>
      <c r="AS25" s="25" t="n">
        <v>0</v>
      </c>
      <c r="AT25" s="16" t="s">
        <v>62</v>
      </c>
      <c r="AU25" s="8"/>
      <c r="AV25" s="25" t="n">
        <v>0</v>
      </c>
      <c r="AW25" s="16" t="s">
        <v>63</v>
      </c>
      <c r="AX25" s="8"/>
      <c r="AY25" s="25" t="s">
        <v>5</v>
      </c>
      <c r="AZ25" s="16" t="s">
        <v>64</v>
      </c>
      <c r="BA25" s="8"/>
      <c r="BB25" s="25" t="s">
        <v>5</v>
      </c>
      <c r="BC25" s="16" t="s">
        <v>65</v>
      </c>
      <c r="BD25" s="8"/>
      <c r="BE25" s="17"/>
      <c r="BF25" s="16" t="s">
        <v>66</v>
      </c>
      <c r="BG25" s="8"/>
      <c r="BH25" s="17"/>
      <c r="BI25" s="16" t="s">
        <v>67</v>
      </c>
      <c r="BJ25" s="8"/>
      <c r="BK25" s="8"/>
      <c r="BL25" s="17"/>
      <c r="BM25" s="16" t="s">
        <v>68</v>
      </c>
      <c r="BN25" s="8"/>
      <c r="BO25" s="8"/>
      <c r="BP25" s="17"/>
      <c r="BQ25" s="16" t="s">
        <v>69</v>
      </c>
      <c r="BR25" s="8"/>
      <c r="BS25" s="8"/>
      <c r="BT25" s="17"/>
      <c r="BU25" s="16" t="s">
        <v>70</v>
      </c>
      <c r="BV25" s="8"/>
      <c r="BW25" s="8"/>
      <c r="BX25" s="8"/>
      <c r="BY25" s="8"/>
      <c r="BZ25" s="17"/>
      <c r="CA25" s="16" t="s">
        <v>71</v>
      </c>
      <c r="CB25" s="8"/>
      <c r="CC25" s="8"/>
      <c r="CD25" s="17"/>
      <c r="CE25" s="14"/>
    </row>
    <row r="26" customFormat="false" ht="12.8" hidden="false" customHeight="false" outlineLevel="0" collapsed="false">
      <c r="B26" s="26"/>
      <c r="C26" s="26"/>
      <c r="D26" s="26" t="s">
        <v>72</v>
      </c>
      <c r="E26" s="26" t="s">
        <v>73</v>
      </c>
      <c r="F26" s="26" t="s">
        <v>74</v>
      </c>
      <c r="G26" s="26" t="s">
        <v>75</v>
      </c>
      <c r="H26" s="26" t="s">
        <v>75</v>
      </c>
      <c r="I26" s="26" t="s">
        <v>75</v>
      </c>
      <c r="J26" s="26" t="s">
        <v>76</v>
      </c>
      <c r="K26" s="26"/>
      <c r="L26" s="26" t="s">
        <v>14</v>
      </c>
      <c r="M26" s="26" t="s">
        <v>77</v>
      </c>
      <c r="N26" s="26" t="s">
        <v>78</v>
      </c>
      <c r="O26" s="26" t="s">
        <v>79</v>
      </c>
      <c r="P26" s="26"/>
      <c r="Q26" s="26"/>
      <c r="R26" s="27"/>
      <c r="S26" s="16" t="s">
        <v>80</v>
      </c>
      <c r="T26" s="8" t="s">
        <v>81</v>
      </c>
      <c r="U26" s="17" t="s">
        <v>82</v>
      </c>
      <c r="V26" s="16" t="s">
        <v>80</v>
      </c>
      <c r="W26" s="8" t="s">
        <v>81</v>
      </c>
      <c r="X26" s="17" t="s">
        <v>82</v>
      </c>
      <c r="Y26" s="16" t="s">
        <v>80</v>
      </c>
      <c r="Z26" s="8" t="s">
        <v>81</v>
      </c>
      <c r="AA26" s="17" t="s">
        <v>82</v>
      </c>
      <c r="AB26" s="16" t="s">
        <v>80</v>
      </c>
      <c r="AC26" s="8" t="s">
        <v>81</v>
      </c>
      <c r="AD26" s="17" t="s">
        <v>82</v>
      </c>
      <c r="AE26" s="16" t="s">
        <v>80</v>
      </c>
      <c r="AF26" s="8" t="s">
        <v>81</v>
      </c>
      <c r="AG26" s="17" t="s">
        <v>82</v>
      </c>
      <c r="AH26" s="16" t="s">
        <v>80</v>
      </c>
      <c r="AI26" s="8" t="s">
        <v>81</v>
      </c>
      <c r="AJ26" s="17" t="s">
        <v>82</v>
      </c>
      <c r="AK26" s="16" t="s">
        <v>80</v>
      </c>
      <c r="AL26" s="8" t="s">
        <v>81</v>
      </c>
      <c r="AM26" s="17" t="s">
        <v>82</v>
      </c>
      <c r="AN26" s="16" t="s">
        <v>80</v>
      </c>
      <c r="AO26" s="8" t="s">
        <v>81</v>
      </c>
      <c r="AP26" s="17" t="s">
        <v>82</v>
      </c>
      <c r="AQ26" s="16" t="s">
        <v>80</v>
      </c>
      <c r="AR26" s="8" t="s">
        <v>81</v>
      </c>
      <c r="AS26" s="17" t="s">
        <v>82</v>
      </c>
      <c r="AT26" s="16" t="s">
        <v>80</v>
      </c>
      <c r="AU26" s="8" t="s">
        <v>81</v>
      </c>
      <c r="AV26" s="17" t="s">
        <v>82</v>
      </c>
      <c r="AW26" s="16" t="s">
        <v>80</v>
      </c>
      <c r="AX26" s="8" t="s">
        <v>81</v>
      </c>
      <c r="AY26" s="17" t="s">
        <v>82</v>
      </c>
      <c r="AZ26" s="16" t="s">
        <v>80</v>
      </c>
      <c r="BA26" s="8" t="s">
        <v>81</v>
      </c>
      <c r="BB26" s="17" t="s">
        <v>82</v>
      </c>
      <c r="BC26" s="16" t="s">
        <v>80</v>
      </c>
      <c r="BD26" s="8" t="s">
        <v>81</v>
      </c>
      <c r="BE26" s="17" t="s">
        <v>82</v>
      </c>
      <c r="BF26" s="16" t="s">
        <v>80</v>
      </c>
      <c r="BG26" s="8" t="s">
        <v>81</v>
      </c>
      <c r="BH26" s="17" t="s">
        <v>82</v>
      </c>
      <c r="BI26" s="16" t="s">
        <v>80</v>
      </c>
      <c r="BJ26" s="28" t="s">
        <v>41</v>
      </c>
      <c r="BK26" s="8" t="s">
        <v>81</v>
      </c>
      <c r="BL26" s="17" t="s">
        <v>82</v>
      </c>
      <c r="BM26" s="16" t="s">
        <v>80</v>
      </c>
      <c r="BN26" s="28" t="s">
        <v>83</v>
      </c>
      <c r="BO26" s="8" t="s">
        <v>81</v>
      </c>
      <c r="BP26" s="17" t="s">
        <v>82</v>
      </c>
      <c r="BQ26" s="16" t="s">
        <v>80</v>
      </c>
      <c r="BR26" s="28" t="s">
        <v>84</v>
      </c>
      <c r="BS26" s="8" t="s">
        <v>81</v>
      </c>
      <c r="BT26" s="17" t="s">
        <v>82</v>
      </c>
      <c r="BU26" s="16" t="s">
        <v>80</v>
      </c>
      <c r="BV26" s="28" t="s">
        <v>84</v>
      </c>
      <c r="BW26" s="28" t="s">
        <v>83</v>
      </c>
      <c r="BX26" s="28" t="s">
        <v>85</v>
      </c>
      <c r="BY26" s="8" t="s">
        <v>81</v>
      </c>
      <c r="BZ26" s="17" t="s">
        <v>82</v>
      </c>
      <c r="CA26" s="16" t="s">
        <v>80</v>
      </c>
      <c r="CB26" s="28" t="s">
        <v>83</v>
      </c>
      <c r="CC26" s="8" t="s">
        <v>81</v>
      </c>
      <c r="CD26" s="17" t="s">
        <v>82</v>
      </c>
      <c r="CE26" s="29" t="s">
        <v>81</v>
      </c>
      <c r="CF26" s="28" t="s">
        <v>86</v>
      </c>
      <c r="CG26" s="28" t="s">
        <v>87</v>
      </c>
      <c r="CH26" s="28" t="s">
        <v>88</v>
      </c>
      <c r="CI26" s="28" t="s">
        <v>89</v>
      </c>
      <c r="CJ26" s="28" t="s">
        <v>90</v>
      </c>
    </row>
    <row r="27" customFormat="false" ht="13.8" hidden="false" customHeight="false" outlineLevel="0" collapsed="false">
      <c r="B27" s="30" t="s">
        <v>91</v>
      </c>
      <c r="C27" s="6" t="s">
        <v>92</v>
      </c>
      <c r="D27" s="6" t="n">
        <v>980</v>
      </c>
      <c r="E27" s="6" t="n">
        <v>25</v>
      </c>
      <c r="F27" s="31" t="n">
        <v>0.00043</v>
      </c>
      <c r="G27" s="6" t="n">
        <v>0.1</v>
      </c>
      <c r="H27" s="6" t="n">
        <v>100</v>
      </c>
      <c r="I27" s="6" t="n">
        <v>0</v>
      </c>
      <c r="J27" s="6" t="n">
        <v>0.25</v>
      </c>
      <c r="K27" s="32" t="n">
        <f aca="false">(J27/1000)/G27</f>
        <v>0.0025</v>
      </c>
      <c r="L27" s="32" t="n">
        <f aca="false">C13</f>
        <v>49000</v>
      </c>
      <c r="M27" s="32" t="n">
        <f aca="false">L27/D27</f>
        <v>50</v>
      </c>
      <c r="N27" s="32" t="n">
        <f aca="false">3.54*M27/(G27*100)^2</f>
        <v>1.77</v>
      </c>
      <c r="O27" s="33" t="n">
        <f aca="false">G27*N27*D27/F27</f>
        <v>403395.348837209</v>
      </c>
      <c r="P27" s="32" t="n">
        <f aca="false">(2.457*LN((((7/O27)^0.9+0.27*(J27/1000)/G27))^(-1)))^16</f>
        <v>9.76117581352076E+019</v>
      </c>
      <c r="Q27" s="32" t="n">
        <f aca="false">(37530/O27)^16</f>
        <v>3.15037931307187E-017</v>
      </c>
      <c r="R27" s="32" t="n">
        <f aca="false">IF(O27&lt;2000,64/O27,8*((8/O27)^12+1/(P27+Q27)^1.5)^(1/12))</f>
        <v>0.0253747761733387</v>
      </c>
      <c r="S27" s="34" t="n">
        <v>0</v>
      </c>
      <c r="T27" s="13" t="n">
        <v>0.75</v>
      </c>
      <c r="U27" s="7" t="n">
        <f aca="false">S27*T27</f>
        <v>0</v>
      </c>
      <c r="V27" s="34" t="n">
        <v>2</v>
      </c>
      <c r="W27" s="13" t="n">
        <v>0.45</v>
      </c>
      <c r="X27" s="7" t="n">
        <f aca="false">V27*W27</f>
        <v>0.9</v>
      </c>
      <c r="Y27" s="34" t="n">
        <v>0</v>
      </c>
      <c r="Z27" s="13" t="n">
        <v>0.35</v>
      </c>
      <c r="AA27" s="7" t="n">
        <f aca="false">Y27*Z27</f>
        <v>0</v>
      </c>
      <c r="AB27" s="34" t="n">
        <v>0</v>
      </c>
      <c r="AC27" s="13" t="n">
        <v>0.2</v>
      </c>
      <c r="AD27" s="7" t="n">
        <f aca="false">AB27*AC27</f>
        <v>0</v>
      </c>
      <c r="AE27" s="34" t="n">
        <v>0</v>
      </c>
      <c r="AF27" s="13" t="n">
        <v>0.04</v>
      </c>
      <c r="AG27" s="7" t="n">
        <f aca="false">AE27*AF27</f>
        <v>0</v>
      </c>
      <c r="AH27" s="34" t="n">
        <v>0</v>
      </c>
      <c r="AI27" s="13" t="n">
        <f aca="false">IF($AJ$25="Open",6,9.5)</f>
        <v>6</v>
      </c>
      <c r="AJ27" s="7" t="n">
        <f aca="false">AH27*AI27</f>
        <v>0</v>
      </c>
      <c r="AK27" s="34" t="n">
        <v>0</v>
      </c>
      <c r="AL27" s="13" t="n">
        <f aca="false">IF($AM$25="Open",9,IF($AM$25="3/4 Open",13,IF($AM$25="1/2 Open",36,112)))</f>
        <v>9</v>
      </c>
      <c r="AM27" s="7" t="n">
        <f aca="false">AK27*AL27</f>
        <v>0</v>
      </c>
      <c r="AN27" s="34" t="n">
        <v>1</v>
      </c>
      <c r="AO27" s="13" t="n">
        <f aca="false">IF($AP$25="Open",0.17,IF($AP$25="3/4 Open",0.9,IF($AP$25="1/2 Open",4.5,24)))</f>
        <v>0.17</v>
      </c>
      <c r="AP27" s="7" t="n">
        <f aca="false">AN27*AO27</f>
        <v>0.17</v>
      </c>
      <c r="AQ27" s="34" t="n">
        <v>0</v>
      </c>
      <c r="AR27" s="13" t="n">
        <f aca="false">32000000*(90-$AS$25)^-4</f>
        <v>0.487730528882792</v>
      </c>
      <c r="AS27" s="7" t="n">
        <f aca="false">AQ27*AR27</f>
        <v>0</v>
      </c>
      <c r="AT27" s="34" t="n">
        <v>0</v>
      </c>
      <c r="AU27" s="13" t="n">
        <f aca="false">10.5*($AV$25/(67-$AV$25))^2</f>
        <v>0</v>
      </c>
      <c r="AV27" s="7" t="n">
        <f aca="false">AT27*AU27</f>
        <v>0</v>
      </c>
      <c r="AW27" s="34" t="n">
        <v>0</v>
      </c>
      <c r="AX27" s="13" t="n">
        <f aca="false">IF($AY$25="Open",2.3,IF($AY$25="3/4 Open",2.6,IF($AY$25="1/2 Open",4.3,21)))</f>
        <v>2.3</v>
      </c>
      <c r="AY27" s="7" t="n">
        <f aca="false">AW27*AX27</f>
        <v>0</v>
      </c>
      <c r="AZ27" s="34" t="n">
        <v>0</v>
      </c>
      <c r="BA27" s="13" t="n">
        <v>4</v>
      </c>
      <c r="BB27" s="7" t="n">
        <f aca="false">AZ27*BA27</f>
        <v>0</v>
      </c>
      <c r="BC27" s="34" t="n">
        <v>1</v>
      </c>
      <c r="BD27" s="13" t="n">
        <v>1</v>
      </c>
      <c r="BE27" s="7" t="n">
        <f aca="false">BC27*BD27</f>
        <v>1</v>
      </c>
      <c r="BF27" s="34" t="n">
        <v>1</v>
      </c>
      <c r="BG27" s="13" t="n">
        <v>0.5</v>
      </c>
      <c r="BH27" s="7" t="n">
        <f aca="false">BF27*BG27</f>
        <v>0.5</v>
      </c>
      <c r="BI27" s="34" t="n">
        <v>0</v>
      </c>
      <c r="BJ27" s="35" t="n">
        <v>0.15</v>
      </c>
      <c r="BK27" s="13" t="n">
        <f aca="false">(1-(G27^2/BJ27^2))^2</f>
        <v>0.308641975308642</v>
      </c>
      <c r="BL27" s="7" t="n">
        <f aca="false">BI27*BK27</f>
        <v>0</v>
      </c>
      <c r="BM27" s="34" t="n">
        <v>0</v>
      </c>
      <c r="BN27" s="35" t="n">
        <v>0.02</v>
      </c>
      <c r="BO27" s="13" t="n">
        <f aca="false">(1/(0.59+0.41*(BN27^2/G27^2)^3)-1)^2</f>
        <v>0.48280245460255</v>
      </c>
      <c r="BP27" s="7" t="n">
        <f aca="false">BM27*BO27</f>
        <v>0</v>
      </c>
      <c r="BQ27" s="34" t="n">
        <v>0</v>
      </c>
      <c r="BR27" s="35" t="n">
        <v>10</v>
      </c>
      <c r="BS27" s="13" t="n">
        <f aca="false">IF(BR27=10,0.065,IF(BR27=15,0.14,IF(BR27=20,0.26,IF(BR27=30,0.43,IF(BR27=45,0.52,0.62)))))</f>
        <v>0.065</v>
      </c>
      <c r="BT27" s="7" t="n">
        <f aca="false">BQ27*BS27</f>
        <v>0</v>
      </c>
      <c r="BU27" s="34" t="n">
        <v>0</v>
      </c>
      <c r="BV27" s="35" t="n">
        <v>45</v>
      </c>
      <c r="BW27" s="35" t="n">
        <v>0.05</v>
      </c>
      <c r="BX27" s="13" t="n">
        <f aca="false">0.59+0.41*(BW27^2/G27^2)^3</f>
        <v>0.59640625</v>
      </c>
      <c r="BY27" s="13" t="n">
        <f aca="false">IF(BV27&lt;90,(1/BX27-1)^2*SIN(BV27),(1/BX27-1)^2)</f>
        <v>0.389659092738285</v>
      </c>
      <c r="BZ27" s="7" t="n">
        <f aca="false">BU27*BY27</f>
        <v>0</v>
      </c>
      <c r="CA27" s="34" t="n">
        <v>0</v>
      </c>
      <c r="CB27" s="35" t="n">
        <v>0.01</v>
      </c>
      <c r="CC27" s="13" t="n">
        <f aca="false">2.8*(1-(CB27/G27)^2)*((G27/CB27)^4-1)</f>
        <v>27717.228</v>
      </c>
      <c r="CD27" s="7" t="n">
        <f aca="false">CA27*CC27</f>
        <v>0</v>
      </c>
      <c r="CE27" s="34"/>
      <c r="CF27" s="5" t="n">
        <f aca="false">IF(H27=0,0,U27+X27+AA27+AD27+AG27+AJ27+AM27+AP27+AS27+AV27+AY27+BB27+BE27+BH27+BL27+BP27+BT27+BZ27+CD27+CE27)</f>
        <v>2.57</v>
      </c>
      <c r="CG27" s="13" t="n">
        <f aca="false">(CF27*D27*N27^2/2)/100000</f>
        <v>0.0394526097</v>
      </c>
      <c r="CH27" s="13" t="n">
        <f aca="false">(R27*H27/G27*D27*N27^2/2)/100000</f>
        <v>0.389533517739918</v>
      </c>
      <c r="CI27" s="13" t="n">
        <f aca="false">(9.81*D27*I27)/100000</f>
        <v>0</v>
      </c>
      <c r="CJ27" s="7" t="n">
        <f aca="false">CG27+CH27+CI27</f>
        <v>0.428986127439918</v>
      </c>
    </row>
    <row r="28" customFormat="false" ht="13.8" hidden="false" customHeight="false" outlineLevel="0" collapsed="false">
      <c r="B28" s="36" t="s">
        <v>93</v>
      </c>
      <c r="C28" s="37" t="s">
        <v>92</v>
      </c>
      <c r="D28" s="37" t="n">
        <v>1000</v>
      </c>
      <c r="E28" s="37" t="n">
        <v>25</v>
      </c>
      <c r="F28" s="38" t="n">
        <v>0.001</v>
      </c>
      <c r="G28" s="37" t="n">
        <v>0.05</v>
      </c>
      <c r="H28" s="37" t="n">
        <v>0</v>
      </c>
      <c r="I28" s="37" t="n">
        <v>0</v>
      </c>
      <c r="J28" s="37" t="n">
        <v>0.045</v>
      </c>
      <c r="K28" s="39" t="n">
        <f aca="false">(J28/1000)/G28</f>
        <v>0.0009</v>
      </c>
      <c r="L28" s="39" t="n">
        <f aca="false">L27</f>
        <v>49000</v>
      </c>
      <c r="M28" s="39" t="n">
        <f aca="false">L28/D28</f>
        <v>49</v>
      </c>
      <c r="N28" s="39" t="n">
        <f aca="false">3.54*M28/(G28*100)^2</f>
        <v>6.9384</v>
      </c>
      <c r="O28" s="40" t="n">
        <f aca="false">G28*N28*D28/F28</f>
        <v>346920</v>
      </c>
      <c r="P28" s="39" t="n">
        <f aca="false">(2.457*LN((((7/O28)^0.9+0.27*(J28/1000)/G28))^(-1)))^16</f>
        <v>6.09868945737298E+020</v>
      </c>
      <c r="Q28" s="39" t="n">
        <f aca="false">(37530/O28)^16</f>
        <v>3.51874363912498E-016</v>
      </c>
      <c r="R28" s="39" t="n">
        <f aca="false">IF(O28&lt;2000,64/O28,8*((8/O28)^12+1/(P28+Q28)^1.5)^(1/12))</f>
        <v>0.0201806626236193</v>
      </c>
      <c r="S28" s="41" t="n">
        <v>0</v>
      </c>
      <c r="T28" s="8" t="n">
        <v>0.75</v>
      </c>
      <c r="U28" s="17" t="n">
        <f aca="false">S28*T28</f>
        <v>0</v>
      </c>
      <c r="V28" s="41" t="n">
        <v>0</v>
      </c>
      <c r="W28" s="8" t="n">
        <v>0.45</v>
      </c>
      <c r="X28" s="17" t="n">
        <f aca="false">V28*W28</f>
        <v>0</v>
      </c>
      <c r="Y28" s="41" t="n">
        <v>0</v>
      </c>
      <c r="Z28" s="8" t="n">
        <v>0.35</v>
      </c>
      <c r="AA28" s="17" t="n">
        <f aca="false">Y28*Z28</f>
        <v>0</v>
      </c>
      <c r="AB28" s="41" t="n">
        <v>0</v>
      </c>
      <c r="AC28" s="8" t="n">
        <v>0.2</v>
      </c>
      <c r="AD28" s="17" t="n">
        <f aca="false">AB28*AC28</f>
        <v>0</v>
      </c>
      <c r="AE28" s="41" t="n">
        <v>0</v>
      </c>
      <c r="AF28" s="8" t="n">
        <v>0.04</v>
      </c>
      <c r="AG28" s="17" t="n">
        <f aca="false">AE28*AF28</f>
        <v>0</v>
      </c>
      <c r="AH28" s="41" t="n">
        <v>0</v>
      </c>
      <c r="AI28" s="8" t="n">
        <f aca="false">IF($AJ$25="Open",6,9.5)</f>
        <v>6</v>
      </c>
      <c r="AJ28" s="17" t="n">
        <f aca="false">AH28*AI28</f>
        <v>0</v>
      </c>
      <c r="AK28" s="41" t="n">
        <v>0</v>
      </c>
      <c r="AL28" s="8" t="n">
        <f aca="false">IF($AM$25="Open",9,IF($AM$25="3/4 Open",13,IF($AM$25="1/2 Open",36,112)))</f>
        <v>9</v>
      </c>
      <c r="AM28" s="17" t="n">
        <f aca="false">AK28*AL28</f>
        <v>0</v>
      </c>
      <c r="AN28" s="41" t="n">
        <v>0</v>
      </c>
      <c r="AO28" s="8" t="n">
        <f aca="false">IF($AP$25="Open",0.17,IF($AP$25="3/4 Open",0.9,IF($AP$25="1/2 Open",4.5,24)))</f>
        <v>0.17</v>
      </c>
      <c r="AP28" s="17" t="n">
        <f aca="false">AN28*AO28</f>
        <v>0</v>
      </c>
      <c r="AQ28" s="41" t="n">
        <v>0</v>
      </c>
      <c r="AR28" s="8" t="n">
        <f aca="false">32000000*(90-$AS$25)^-4</f>
        <v>0.487730528882792</v>
      </c>
      <c r="AS28" s="17" t="n">
        <f aca="false">AQ28*AR28</f>
        <v>0</v>
      </c>
      <c r="AT28" s="41" t="n">
        <v>0</v>
      </c>
      <c r="AU28" s="8" t="n">
        <f aca="false">10.5*($AV$25/(67-$AV$25))^2</f>
        <v>0</v>
      </c>
      <c r="AV28" s="17" t="n">
        <f aca="false">AT28*AU28</f>
        <v>0</v>
      </c>
      <c r="AW28" s="41" t="n">
        <v>0</v>
      </c>
      <c r="AX28" s="8" t="n">
        <f aca="false">IF($AY$25="Open",2.3,IF($AY$25="3/4 Open",2.6,IF($AY$25="1/2 Open",4.3,21)))</f>
        <v>2.3</v>
      </c>
      <c r="AY28" s="17" t="n">
        <f aca="false">AW28*AX28</f>
        <v>0</v>
      </c>
      <c r="AZ28" s="41" t="n">
        <v>0</v>
      </c>
      <c r="BA28" s="8" t="n">
        <v>4</v>
      </c>
      <c r="BB28" s="17" t="n">
        <f aca="false">AZ28*BA28</f>
        <v>0</v>
      </c>
      <c r="BC28" s="41" t="n">
        <v>0</v>
      </c>
      <c r="BD28" s="8" t="n">
        <v>1</v>
      </c>
      <c r="BE28" s="17" t="n">
        <f aca="false">BC28*BD28</f>
        <v>0</v>
      </c>
      <c r="BF28" s="41" t="n">
        <v>0</v>
      </c>
      <c r="BG28" s="8" t="n">
        <v>0.5</v>
      </c>
      <c r="BH28" s="17" t="n">
        <f aca="false">BF28*BG28</f>
        <v>0</v>
      </c>
      <c r="BI28" s="41" t="n">
        <v>0</v>
      </c>
      <c r="BJ28" s="42" t="n">
        <v>0.1</v>
      </c>
      <c r="BK28" s="8" t="n">
        <f aca="false">(1-(G28^2/BJ28^2))^2</f>
        <v>0.5625</v>
      </c>
      <c r="BL28" s="17" t="n">
        <f aca="false">BI28*BK28</f>
        <v>0</v>
      </c>
      <c r="BM28" s="41" t="n">
        <v>0</v>
      </c>
      <c r="BN28" s="42" t="n">
        <v>0.02</v>
      </c>
      <c r="BO28" s="8" t="n">
        <f aca="false">(1/(0.59+0.41*(BN28^2/G28^2)^3)-1)^2</f>
        <v>0.476244340137152</v>
      </c>
      <c r="BP28" s="17" t="n">
        <f aca="false">BM28*BO28</f>
        <v>0</v>
      </c>
      <c r="BQ28" s="41" t="n">
        <v>0</v>
      </c>
      <c r="BR28" s="42" t="n">
        <v>10</v>
      </c>
      <c r="BS28" s="8" t="n">
        <f aca="false">IF(BR28=10,0.065,IF(BR28=15,0.14,IF(BR28=20,0.26,IF(BR28=30,0.43,IF(BR28=45,0.52,0.62)))))</f>
        <v>0.065</v>
      </c>
      <c r="BT28" s="17" t="n">
        <f aca="false">BQ28*BS28</f>
        <v>0</v>
      </c>
      <c r="BU28" s="41" t="n">
        <v>0</v>
      </c>
      <c r="BV28" s="42" t="n">
        <v>45</v>
      </c>
      <c r="BW28" s="42" t="n">
        <v>0.05</v>
      </c>
      <c r="BX28" s="28" t="n">
        <f aca="false">0.59+0.41*(BW28^2/G28^2)^3</f>
        <v>1</v>
      </c>
      <c r="BY28" s="28" t="n">
        <f aca="false">IF(BV28&lt;90,(1/BX28-1)^2*SIN(BV28),(1/BX28-1)^2)</f>
        <v>0</v>
      </c>
      <c r="BZ28" s="17" t="n">
        <f aca="false">BU28*BY28</f>
        <v>0</v>
      </c>
      <c r="CA28" s="41" t="n">
        <v>0</v>
      </c>
      <c r="CB28" s="42" t="n">
        <v>0.01</v>
      </c>
      <c r="CC28" s="8" t="n">
        <f aca="false">2.8*(1-(CB28/G28)^2)*((G28/CB28)^4-1)</f>
        <v>1677.312</v>
      </c>
      <c r="CD28" s="17" t="n">
        <f aca="false">CA28*CC28</f>
        <v>0</v>
      </c>
      <c r="CE28" s="41"/>
      <c r="CF28" s="16" t="n">
        <f aca="false">IF(H28=0,0,U28+X28+AA28+AD28+AG28+AJ28+AM28+AP28+AS28+AV28+AY28+BB28+BE28+BH28+BL28+BP28+BT28+BZ28+CD28+CE28)</f>
        <v>0</v>
      </c>
      <c r="CG28" s="8" t="n">
        <f aca="false">(CF28*D28*N28^2/2)/100000</f>
        <v>0</v>
      </c>
      <c r="CH28" s="8" t="n">
        <f aca="false">(R28*H28/G28*D28*N28^2/2)/100000</f>
        <v>0</v>
      </c>
      <c r="CI28" s="8" t="n">
        <f aca="false">(9.81*D28*I28)/100000</f>
        <v>0</v>
      </c>
      <c r="CJ28" s="17" t="n">
        <f aca="false">CG28+CH28+CI28</f>
        <v>0</v>
      </c>
    </row>
    <row r="29" customFormat="false" ht="13.8" hidden="false" customHeight="false" outlineLevel="0" collapsed="false">
      <c r="B29" s="36" t="s">
        <v>94</v>
      </c>
      <c r="C29" s="37" t="s">
        <v>92</v>
      </c>
      <c r="D29" s="37" t="n">
        <v>1000</v>
      </c>
      <c r="E29" s="37" t="n">
        <v>25</v>
      </c>
      <c r="F29" s="38" t="n">
        <v>0.001</v>
      </c>
      <c r="G29" s="37" t="n">
        <v>0.05</v>
      </c>
      <c r="H29" s="37" t="n">
        <v>0</v>
      </c>
      <c r="I29" s="37" t="n">
        <v>0</v>
      </c>
      <c r="J29" s="37" t="n">
        <v>0.045</v>
      </c>
      <c r="K29" s="39" t="n">
        <f aca="false">(J29/1000)/G29</f>
        <v>0.0009</v>
      </c>
      <c r="L29" s="39" t="n">
        <f aca="false">L28</f>
        <v>49000</v>
      </c>
      <c r="M29" s="39" t="n">
        <f aca="false">L29/D29</f>
        <v>49</v>
      </c>
      <c r="N29" s="39" t="n">
        <f aca="false">3.54*M29/(G29*100)^2</f>
        <v>6.9384</v>
      </c>
      <c r="O29" s="40" t="n">
        <f aca="false">G29*N29*D29/F29</f>
        <v>346920</v>
      </c>
      <c r="P29" s="39" t="n">
        <f aca="false">(2.457*LN((((7/O29)^0.9+0.27*(J29/1000)/G29))^(-1)))^16</f>
        <v>6.09868945737298E+020</v>
      </c>
      <c r="Q29" s="39" t="n">
        <f aca="false">(37530/O29)^16</f>
        <v>3.51874363912498E-016</v>
      </c>
      <c r="R29" s="39" t="n">
        <f aca="false">IF(O29&lt;2000,64/O29,8*((8/O29)^12+1/(P29+Q29)^1.5)^(1/12))</f>
        <v>0.0201806626236193</v>
      </c>
      <c r="S29" s="41" t="n">
        <v>0</v>
      </c>
      <c r="T29" s="8" t="n">
        <v>0.75</v>
      </c>
      <c r="U29" s="17" t="n">
        <f aca="false">S29*T29</f>
        <v>0</v>
      </c>
      <c r="V29" s="41" t="n">
        <v>0</v>
      </c>
      <c r="W29" s="8" t="n">
        <v>0.45</v>
      </c>
      <c r="X29" s="17" t="n">
        <f aca="false">V29*W29</f>
        <v>0</v>
      </c>
      <c r="Y29" s="41" t="n">
        <v>0</v>
      </c>
      <c r="Z29" s="8" t="n">
        <v>0.35</v>
      </c>
      <c r="AA29" s="17" t="n">
        <f aca="false">Y29*Z29</f>
        <v>0</v>
      </c>
      <c r="AB29" s="41" t="n">
        <v>0</v>
      </c>
      <c r="AC29" s="8" t="n">
        <v>0.2</v>
      </c>
      <c r="AD29" s="17" t="n">
        <f aca="false">AB29*AC29</f>
        <v>0</v>
      </c>
      <c r="AE29" s="41" t="n">
        <v>0</v>
      </c>
      <c r="AF29" s="8" t="n">
        <v>0.04</v>
      </c>
      <c r="AG29" s="17" t="n">
        <f aca="false">AE29*AF29</f>
        <v>0</v>
      </c>
      <c r="AH29" s="41" t="n">
        <v>0</v>
      </c>
      <c r="AI29" s="8" t="n">
        <f aca="false">IF($AJ$25="Open",6,9.5)</f>
        <v>6</v>
      </c>
      <c r="AJ29" s="17" t="n">
        <f aca="false">AH29*AI29</f>
        <v>0</v>
      </c>
      <c r="AK29" s="41" t="n">
        <v>0</v>
      </c>
      <c r="AL29" s="8" t="n">
        <f aca="false">IF($AM$25="Open",9,IF($AM$25="3/4 Open",13,IF($AM$25="1/2 Open",36,112)))</f>
        <v>9</v>
      </c>
      <c r="AM29" s="17" t="n">
        <f aca="false">AK29*AL29</f>
        <v>0</v>
      </c>
      <c r="AN29" s="41" t="n">
        <v>0</v>
      </c>
      <c r="AO29" s="8" t="n">
        <f aca="false">IF($AP$25="Open",0.17,IF($AP$25="3/4 Open",0.9,IF($AP$25="1/2 Open",4.5,24)))</f>
        <v>0.17</v>
      </c>
      <c r="AP29" s="17" t="n">
        <f aca="false">AN29*AO29</f>
        <v>0</v>
      </c>
      <c r="AQ29" s="41" t="n">
        <v>0</v>
      </c>
      <c r="AR29" s="8" t="n">
        <f aca="false">32000000*(90-$AS$25)^-4</f>
        <v>0.487730528882792</v>
      </c>
      <c r="AS29" s="17" t="n">
        <f aca="false">AQ29*AR29</f>
        <v>0</v>
      </c>
      <c r="AT29" s="41" t="n">
        <v>0</v>
      </c>
      <c r="AU29" s="8" t="n">
        <f aca="false">10.5*($AV$25/(67-$AV$25))^2</f>
        <v>0</v>
      </c>
      <c r="AV29" s="17" t="n">
        <f aca="false">AT29*AU29</f>
        <v>0</v>
      </c>
      <c r="AW29" s="41" t="n">
        <v>0</v>
      </c>
      <c r="AX29" s="8" t="n">
        <f aca="false">IF($AY$25="Open",2.3,IF($AY$25="3/4 Open",2.6,IF($AY$25="1/2 Open",4.3,21)))</f>
        <v>2.3</v>
      </c>
      <c r="AY29" s="17" t="n">
        <f aca="false">AW29*AX29</f>
        <v>0</v>
      </c>
      <c r="AZ29" s="41" t="n">
        <v>0</v>
      </c>
      <c r="BA29" s="8" t="n">
        <v>4</v>
      </c>
      <c r="BB29" s="17" t="n">
        <f aca="false">AZ29*BA29</f>
        <v>0</v>
      </c>
      <c r="BC29" s="41" t="n">
        <v>0</v>
      </c>
      <c r="BD29" s="8" t="n">
        <v>1</v>
      </c>
      <c r="BE29" s="17" t="n">
        <f aca="false">BC29*BD29</f>
        <v>0</v>
      </c>
      <c r="BF29" s="41" t="n">
        <v>0</v>
      </c>
      <c r="BG29" s="8" t="n">
        <v>0.5</v>
      </c>
      <c r="BH29" s="17" t="n">
        <f aca="false">BF29*BG29</f>
        <v>0</v>
      </c>
      <c r="BI29" s="41" t="n">
        <v>0</v>
      </c>
      <c r="BJ29" s="42" t="n">
        <v>0.1</v>
      </c>
      <c r="BK29" s="8" t="n">
        <f aca="false">(1-(G29^2/BJ29^2))^2</f>
        <v>0.5625</v>
      </c>
      <c r="BL29" s="17" t="n">
        <f aca="false">BI29*BK29</f>
        <v>0</v>
      </c>
      <c r="BM29" s="41" t="n">
        <v>0</v>
      </c>
      <c r="BN29" s="42" t="n">
        <v>0.02</v>
      </c>
      <c r="BO29" s="8" t="n">
        <f aca="false">(1/(0.59+0.41*(BN29^2/G29^2)^3)-1)^2</f>
        <v>0.476244340137152</v>
      </c>
      <c r="BP29" s="17" t="n">
        <f aca="false">BM29*BO29</f>
        <v>0</v>
      </c>
      <c r="BQ29" s="41" t="n">
        <v>0</v>
      </c>
      <c r="BR29" s="42" t="n">
        <v>10</v>
      </c>
      <c r="BS29" s="8" t="n">
        <f aca="false">IF(BR29=10,0.065,IF(BR29=15,0.14,IF(BR29=20,0.26,IF(BR29=30,0.43,IF(BR29=45,0.52,0.62)))))</f>
        <v>0.065</v>
      </c>
      <c r="BT29" s="17" t="n">
        <f aca="false">BQ29*BS29</f>
        <v>0</v>
      </c>
      <c r="BU29" s="41" t="n">
        <v>0</v>
      </c>
      <c r="BV29" s="42" t="n">
        <v>45</v>
      </c>
      <c r="BW29" s="42" t="n">
        <v>0.05</v>
      </c>
      <c r="BX29" s="28" t="n">
        <f aca="false">0.59+0.41*(BW29^2/G29^2)^3</f>
        <v>1</v>
      </c>
      <c r="BY29" s="28" t="n">
        <f aca="false">IF(BV29&lt;90,(1/BX29-1)^2*SIN(BV29),(1/BX29-1)^2)</f>
        <v>0</v>
      </c>
      <c r="BZ29" s="17" t="n">
        <f aca="false">BU29*BY29</f>
        <v>0</v>
      </c>
      <c r="CA29" s="41" t="n">
        <v>0</v>
      </c>
      <c r="CB29" s="42" t="n">
        <v>0.02</v>
      </c>
      <c r="CC29" s="8" t="n">
        <f aca="false">2.8*(1-(CB29/G29)^2)*((G29/CB29)^4-1)</f>
        <v>89.523</v>
      </c>
      <c r="CD29" s="17" t="n">
        <f aca="false">CA29*CC29</f>
        <v>0</v>
      </c>
      <c r="CE29" s="41"/>
      <c r="CF29" s="16" t="n">
        <f aca="false">IF(H29=0,0,U29+X29+AA29+AD29+AG29+AJ29+AM29+AP29+AS29+AV29+AY29+BB29+BE29+BH29+BL29+BP29+BT29+BZ29+CD29+CE29)</f>
        <v>0</v>
      </c>
      <c r="CG29" s="8" t="n">
        <f aca="false">(CF29*D29*N29^2/2)/100000</f>
        <v>0</v>
      </c>
      <c r="CH29" s="8" t="n">
        <f aca="false">(R29*H29/G29*D29*N29^2/2)/100000</f>
        <v>0</v>
      </c>
      <c r="CI29" s="8" t="n">
        <f aca="false">(9.81*D29*I29)/100000</f>
        <v>0</v>
      </c>
      <c r="CJ29" s="17" t="n">
        <f aca="false">CG29+CH29+CI29</f>
        <v>0</v>
      </c>
    </row>
    <row r="30" customFormat="false" ht="13.8" hidden="false" customHeight="false" outlineLevel="0" collapsed="false">
      <c r="B30" s="36" t="s">
        <v>95</v>
      </c>
      <c r="C30" s="37" t="s">
        <v>92</v>
      </c>
      <c r="D30" s="37" t="n">
        <v>1000</v>
      </c>
      <c r="E30" s="37" t="n">
        <v>25</v>
      </c>
      <c r="F30" s="38" t="n">
        <v>0.001</v>
      </c>
      <c r="G30" s="37" t="n">
        <v>0.05</v>
      </c>
      <c r="H30" s="37" t="n">
        <v>0</v>
      </c>
      <c r="I30" s="37" t="n">
        <v>0</v>
      </c>
      <c r="J30" s="37" t="n">
        <v>0.045</v>
      </c>
      <c r="K30" s="39" t="n">
        <f aca="false">(J30/1000)/G30</f>
        <v>0.0009</v>
      </c>
      <c r="L30" s="39" t="n">
        <f aca="false">L29</f>
        <v>49000</v>
      </c>
      <c r="M30" s="39" t="n">
        <f aca="false">L30/D30</f>
        <v>49</v>
      </c>
      <c r="N30" s="39" t="n">
        <f aca="false">3.54*M30/(G30*100)^2</f>
        <v>6.9384</v>
      </c>
      <c r="O30" s="40" t="n">
        <f aca="false">G30*N30*D30/F30</f>
        <v>346920</v>
      </c>
      <c r="P30" s="39" t="n">
        <f aca="false">(2.457*LN((((7/O30)^0.9+0.27*(J30/1000)/G30))^(-1)))^16</f>
        <v>6.09868945737298E+020</v>
      </c>
      <c r="Q30" s="39" t="n">
        <f aca="false">(37530/O30)^16</f>
        <v>3.51874363912498E-016</v>
      </c>
      <c r="R30" s="39" t="n">
        <f aca="false">IF(O30&lt;2000,64/O30,8*((8/O30)^12+1/(P30+Q30)^1.5)^(1/12))</f>
        <v>0.0201806626236193</v>
      </c>
      <c r="S30" s="41" t="n">
        <v>0</v>
      </c>
      <c r="T30" s="8" t="n">
        <v>0.75</v>
      </c>
      <c r="U30" s="17" t="n">
        <f aca="false">S30*T30</f>
        <v>0</v>
      </c>
      <c r="V30" s="41" t="n">
        <v>0</v>
      </c>
      <c r="W30" s="8" t="n">
        <v>0.45</v>
      </c>
      <c r="X30" s="17" t="n">
        <f aca="false">V30*W30</f>
        <v>0</v>
      </c>
      <c r="Y30" s="41" t="n">
        <v>0</v>
      </c>
      <c r="Z30" s="8" t="n">
        <v>0.35</v>
      </c>
      <c r="AA30" s="17" t="n">
        <f aca="false">Y30*Z30</f>
        <v>0</v>
      </c>
      <c r="AB30" s="41" t="n">
        <v>0</v>
      </c>
      <c r="AC30" s="8" t="n">
        <v>0.2</v>
      </c>
      <c r="AD30" s="17" t="n">
        <f aca="false">AB30*AC30</f>
        <v>0</v>
      </c>
      <c r="AE30" s="41" t="n">
        <v>0</v>
      </c>
      <c r="AF30" s="8" t="n">
        <v>0.04</v>
      </c>
      <c r="AG30" s="17" t="n">
        <f aca="false">AE30*AF30</f>
        <v>0</v>
      </c>
      <c r="AH30" s="41" t="n">
        <v>0</v>
      </c>
      <c r="AI30" s="8" t="n">
        <f aca="false">IF($AJ$25="Open",6,9.5)</f>
        <v>6</v>
      </c>
      <c r="AJ30" s="17" t="n">
        <f aca="false">AH30*AI30</f>
        <v>0</v>
      </c>
      <c r="AK30" s="41" t="n">
        <v>0</v>
      </c>
      <c r="AL30" s="8" t="n">
        <f aca="false">IF($AM$25="Open",9,IF($AM$25="3/4 Open",13,IF($AM$25="1/2 Open",36,112)))</f>
        <v>9</v>
      </c>
      <c r="AM30" s="17" t="n">
        <f aca="false">AK30*AL30</f>
        <v>0</v>
      </c>
      <c r="AN30" s="41" t="n">
        <v>0</v>
      </c>
      <c r="AO30" s="8" t="n">
        <f aca="false">IF($AP$25="Open",0.17,IF($AP$25="3/4 Open",0.9,IF($AP$25="1/2 Open",4.5,24)))</f>
        <v>0.17</v>
      </c>
      <c r="AP30" s="17" t="n">
        <f aca="false">AN30*AO30</f>
        <v>0</v>
      </c>
      <c r="AQ30" s="41" t="n">
        <v>0</v>
      </c>
      <c r="AR30" s="8" t="n">
        <f aca="false">32000000*(90-$AS$25)^-4</f>
        <v>0.487730528882792</v>
      </c>
      <c r="AS30" s="17" t="n">
        <f aca="false">AQ30*AR30</f>
        <v>0</v>
      </c>
      <c r="AT30" s="41" t="n">
        <v>0</v>
      </c>
      <c r="AU30" s="8" t="n">
        <f aca="false">10.5*($AV$25/(67-$AV$25))^2</f>
        <v>0</v>
      </c>
      <c r="AV30" s="17" t="n">
        <f aca="false">AT30*AU30</f>
        <v>0</v>
      </c>
      <c r="AW30" s="41" t="n">
        <v>0</v>
      </c>
      <c r="AX30" s="8" t="n">
        <f aca="false">IF($AY$25="Open",2.3,IF($AY$25="3/4 Open",2.6,IF($AY$25="1/2 Open",4.3,21)))</f>
        <v>2.3</v>
      </c>
      <c r="AY30" s="17" t="n">
        <f aca="false">AW30*AX30</f>
        <v>0</v>
      </c>
      <c r="AZ30" s="41" t="n">
        <v>0</v>
      </c>
      <c r="BA30" s="8" t="n">
        <v>4</v>
      </c>
      <c r="BB30" s="17" t="n">
        <f aca="false">AZ30*BA30</f>
        <v>0</v>
      </c>
      <c r="BC30" s="41" t="n">
        <v>0</v>
      </c>
      <c r="BD30" s="8" t="n">
        <v>1</v>
      </c>
      <c r="BE30" s="17" t="n">
        <f aca="false">BC30*BD30</f>
        <v>0</v>
      </c>
      <c r="BF30" s="41" t="n">
        <v>0</v>
      </c>
      <c r="BG30" s="8" t="n">
        <v>0.5</v>
      </c>
      <c r="BH30" s="17" t="n">
        <f aca="false">BF30*BG30</f>
        <v>0</v>
      </c>
      <c r="BI30" s="41" t="n">
        <v>0</v>
      </c>
      <c r="BJ30" s="42" t="n">
        <v>0.1</v>
      </c>
      <c r="BK30" s="8" t="n">
        <f aca="false">(1-(G30^2/BJ30^2))^2</f>
        <v>0.5625</v>
      </c>
      <c r="BL30" s="17" t="n">
        <f aca="false">BI30*BK30</f>
        <v>0</v>
      </c>
      <c r="BM30" s="41" t="n">
        <v>0</v>
      </c>
      <c r="BN30" s="42" t="n">
        <v>0.02</v>
      </c>
      <c r="BO30" s="8" t="n">
        <f aca="false">(1/(0.59+0.41*(BN30^2/G30^2)^3)-1)^2</f>
        <v>0.476244340137152</v>
      </c>
      <c r="BP30" s="17" t="n">
        <f aca="false">BM30*BO30</f>
        <v>0</v>
      </c>
      <c r="BQ30" s="41" t="n">
        <v>0</v>
      </c>
      <c r="BR30" s="42" t="n">
        <v>10</v>
      </c>
      <c r="BS30" s="8" t="n">
        <f aca="false">IF(BR30=10,0.065,IF(BR30=15,0.14,IF(BR30=20,0.26,IF(BR30=30,0.43,IF(BR30=45,0.52,0.62)))))</f>
        <v>0.065</v>
      </c>
      <c r="BT30" s="17" t="n">
        <f aca="false">BQ30*BS30</f>
        <v>0</v>
      </c>
      <c r="BU30" s="41" t="n">
        <v>0</v>
      </c>
      <c r="BV30" s="42" t="n">
        <v>45</v>
      </c>
      <c r="BW30" s="42" t="n">
        <v>0.05</v>
      </c>
      <c r="BX30" s="28" t="n">
        <f aca="false">0.59+0.41*(BW30^2/G30^2)^3</f>
        <v>1</v>
      </c>
      <c r="BY30" s="28" t="n">
        <f aca="false">IF(BV30&lt;90,(1/BX30-1)^2*SIN(BV30),(1/BX30-1)^2)</f>
        <v>0</v>
      </c>
      <c r="BZ30" s="17" t="n">
        <f aca="false">BU30*BY30</f>
        <v>0</v>
      </c>
      <c r="CA30" s="41" t="n">
        <v>0</v>
      </c>
      <c r="CB30" s="42" t="n">
        <v>0.03</v>
      </c>
      <c r="CC30" s="8" t="n">
        <f aca="false">2.8*(1-(CB30/G30)^2)*((G30/CB30)^4-1)</f>
        <v>12.0351604938272</v>
      </c>
      <c r="CD30" s="17" t="n">
        <f aca="false">CA30*CC30</f>
        <v>0</v>
      </c>
      <c r="CE30" s="41"/>
      <c r="CF30" s="16" t="n">
        <f aca="false">IF(H30=0,0,U30+X30+AA30+AD30+AG30+AJ30+AM30+AP30+AS30+AV30+AY30+BB30+BE30+BH30+BL30+BP30+BT30+BZ30+CD30+CE30)</f>
        <v>0</v>
      </c>
      <c r="CG30" s="8" t="n">
        <f aca="false">(CF30*D30*N30^2/2)/100000</f>
        <v>0</v>
      </c>
      <c r="CH30" s="8" t="n">
        <f aca="false">(R30*H30/G30*D30*N30^2/2)/100000</f>
        <v>0</v>
      </c>
      <c r="CI30" s="8" t="n">
        <f aca="false">(9.81*D30*I30)/100000</f>
        <v>0</v>
      </c>
      <c r="CJ30" s="17" t="n">
        <f aca="false">CG30+CH30+CI30</f>
        <v>0</v>
      </c>
    </row>
    <row r="31" customFormat="false" ht="13.8" hidden="false" customHeight="false" outlineLevel="0" collapsed="false">
      <c r="B31" s="36" t="s">
        <v>96</v>
      </c>
      <c r="C31" s="37" t="s">
        <v>92</v>
      </c>
      <c r="D31" s="37" t="n">
        <v>1000</v>
      </c>
      <c r="E31" s="37" t="n">
        <v>25</v>
      </c>
      <c r="F31" s="38" t="n">
        <v>0.001</v>
      </c>
      <c r="G31" s="37" t="n">
        <v>0.05</v>
      </c>
      <c r="H31" s="37" t="n">
        <v>0</v>
      </c>
      <c r="I31" s="37" t="n">
        <v>0</v>
      </c>
      <c r="J31" s="37" t="n">
        <v>0.045</v>
      </c>
      <c r="K31" s="39" t="n">
        <f aca="false">(J31/1000)/G31</f>
        <v>0.0009</v>
      </c>
      <c r="L31" s="39" t="n">
        <f aca="false">L30</f>
        <v>49000</v>
      </c>
      <c r="M31" s="39" t="n">
        <f aca="false">L31/D31</f>
        <v>49</v>
      </c>
      <c r="N31" s="39" t="n">
        <f aca="false">3.54*M31/(G31*100)^2</f>
        <v>6.9384</v>
      </c>
      <c r="O31" s="40" t="n">
        <f aca="false">G31*N31*D31/F31</f>
        <v>346920</v>
      </c>
      <c r="P31" s="39" t="n">
        <f aca="false">(2.457*LN((((7/O31)^0.9+0.27*(J31/1000)/G31))^(-1)))^16</f>
        <v>6.09868945737298E+020</v>
      </c>
      <c r="Q31" s="39" t="n">
        <f aca="false">(37530/O31)^16</f>
        <v>3.51874363912498E-016</v>
      </c>
      <c r="R31" s="39" t="n">
        <f aca="false">IF(O31&lt;2000,64/O31,8*((8/O31)^12+1/(P31+Q31)^1.5)^(1/12))</f>
        <v>0.0201806626236193</v>
      </c>
      <c r="S31" s="41" t="n">
        <v>0</v>
      </c>
      <c r="T31" s="8" t="n">
        <v>0.75</v>
      </c>
      <c r="U31" s="17" t="n">
        <f aca="false">S31*T31</f>
        <v>0</v>
      </c>
      <c r="V31" s="41" t="n">
        <v>0</v>
      </c>
      <c r="W31" s="8" t="n">
        <v>0.45</v>
      </c>
      <c r="X31" s="17" t="n">
        <f aca="false">V31*W31</f>
        <v>0</v>
      </c>
      <c r="Y31" s="41" t="n">
        <v>0</v>
      </c>
      <c r="Z31" s="8" t="n">
        <v>0.35</v>
      </c>
      <c r="AA31" s="17" t="n">
        <f aca="false">Y31*Z31</f>
        <v>0</v>
      </c>
      <c r="AB31" s="41" t="n">
        <v>0</v>
      </c>
      <c r="AC31" s="8" t="n">
        <v>0.2</v>
      </c>
      <c r="AD31" s="17" t="n">
        <f aca="false">AB31*AC31</f>
        <v>0</v>
      </c>
      <c r="AE31" s="41" t="n">
        <v>0</v>
      </c>
      <c r="AF31" s="8" t="n">
        <v>0.04</v>
      </c>
      <c r="AG31" s="17" t="n">
        <f aca="false">AE31*AF31</f>
        <v>0</v>
      </c>
      <c r="AH31" s="41" t="n">
        <v>0</v>
      </c>
      <c r="AI31" s="8" t="n">
        <f aca="false">IF($AJ$25="Open",6,9.5)</f>
        <v>6</v>
      </c>
      <c r="AJ31" s="17" t="n">
        <f aca="false">AH31*AI31</f>
        <v>0</v>
      </c>
      <c r="AK31" s="41" t="n">
        <v>0</v>
      </c>
      <c r="AL31" s="8" t="n">
        <f aca="false">IF($AM$25="Open",9,IF($AM$25="3/4 Open",13,IF($AM$25="1/2 Open",36,112)))</f>
        <v>9</v>
      </c>
      <c r="AM31" s="17" t="n">
        <f aca="false">AK31*AL31</f>
        <v>0</v>
      </c>
      <c r="AN31" s="41" t="n">
        <v>0</v>
      </c>
      <c r="AO31" s="8" t="n">
        <f aca="false">IF($AP$25="Open",0.17,IF($AP$25="3/4 Open",0.9,IF($AP$25="1/2 Open",4.5,24)))</f>
        <v>0.17</v>
      </c>
      <c r="AP31" s="17" t="n">
        <f aca="false">AN31*AO31</f>
        <v>0</v>
      </c>
      <c r="AQ31" s="41" t="n">
        <v>0</v>
      </c>
      <c r="AR31" s="8" t="n">
        <f aca="false">32000000*(90-$AS$25)^-4</f>
        <v>0.487730528882792</v>
      </c>
      <c r="AS31" s="17" t="n">
        <f aca="false">AQ31*AR31</f>
        <v>0</v>
      </c>
      <c r="AT31" s="41" t="n">
        <v>0</v>
      </c>
      <c r="AU31" s="8" t="n">
        <f aca="false">10.5*($AV$25/(67-$AV$25))^2</f>
        <v>0</v>
      </c>
      <c r="AV31" s="17" t="n">
        <f aca="false">AT31*AU31</f>
        <v>0</v>
      </c>
      <c r="AW31" s="41" t="n">
        <v>0</v>
      </c>
      <c r="AX31" s="8" t="n">
        <f aca="false">IF($AY$25="Open",2.3,IF($AY$25="3/4 Open",2.6,IF($AY$25="1/2 Open",4.3,21)))</f>
        <v>2.3</v>
      </c>
      <c r="AY31" s="17" t="n">
        <f aca="false">AW31*AX31</f>
        <v>0</v>
      </c>
      <c r="AZ31" s="41" t="n">
        <v>0</v>
      </c>
      <c r="BA31" s="8" t="n">
        <v>4</v>
      </c>
      <c r="BB31" s="17" t="n">
        <f aca="false">AZ31*BA31</f>
        <v>0</v>
      </c>
      <c r="BC31" s="41" t="n">
        <v>0</v>
      </c>
      <c r="BD31" s="8" t="n">
        <v>1</v>
      </c>
      <c r="BE31" s="17" t="n">
        <f aca="false">BC31*BD31</f>
        <v>0</v>
      </c>
      <c r="BF31" s="41" t="n">
        <v>0</v>
      </c>
      <c r="BG31" s="8" t="n">
        <v>0.5</v>
      </c>
      <c r="BH31" s="17" t="n">
        <f aca="false">BF31*BG31</f>
        <v>0</v>
      </c>
      <c r="BI31" s="41" t="n">
        <v>0</v>
      </c>
      <c r="BJ31" s="42" t="n">
        <v>0.1</v>
      </c>
      <c r="BK31" s="8" t="n">
        <f aca="false">(1-(G31^2/BJ31^2))^2</f>
        <v>0.5625</v>
      </c>
      <c r="BL31" s="17" t="n">
        <f aca="false">BI31*BK31</f>
        <v>0</v>
      </c>
      <c r="BM31" s="41" t="n">
        <v>0</v>
      </c>
      <c r="BN31" s="42" t="n">
        <v>0.02</v>
      </c>
      <c r="BO31" s="8" t="n">
        <f aca="false">(1/(0.59+0.41*(BN31^2/G31^2)^3)-1)^2</f>
        <v>0.476244340137152</v>
      </c>
      <c r="BP31" s="17" t="n">
        <f aca="false">BM31*BO31</f>
        <v>0</v>
      </c>
      <c r="BQ31" s="41" t="n">
        <v>0</v>
      </c>
      <c r="BR31" s="42" t="n">
        <v>10</v>
      </c>
      <c r="BS31" s="8" t="n">
        <f aca="false">IF(BR31=10,0.065,IF(BR31=15,0.14,IF(BR31=20,0.26,IF(BR31=30,0.43,IF(BR31=45,0.52,0.62)))))</f>
        <v>0.065</v>
      </c>
      <c r="BT31" s="17" t="n">
        <f aca="false">BQ31*BS31</f>
        <v>0</v>
      </c>
      <c r="BU31" s="41" t="n">
        <v>0</v>
      </c>
      <c r="BV31" s="42" t="n">
        <v>45</v>
      </c>
      <c r="BW31" s="42" t="n">
        <v>0.05</v>
      </c>
      <c r="BX31" s="28" t="n">
        <f aca="false">0.59+0.41*(BW31^2/G31^2)^3</f>
        <v>1</v>
      </c>
      <c r="BY31" s="28" t="n">
        <f aca="false">IF(BV31&lt;90,(1/BX31-1)^2*SIN(BV31),(1/BX31-1)^2)</f>
        <v>0</v>
      </c>
      <c r="BZ31" s="17" t="n">
        <f aca="false">BU31*BY31</f>
        <v>0</v>
      </c>
      <c r="CA31" s="41" t="n">
        <v>0</v>
      </c>
      <c r="CB31" s="42" t="n">
        <v>0.04</v>
      </c>
      <c r="CC31" s="8" t="n">
        <f aca="false">2.8*(1-(CB31/G31)^2)*((G31/CB31)^4-1)</f>
        <v>1.4529375</v>
      </c>
      <c r="CD31" s="17" t="n">
        <f aca="false">CA31*CC31</f>
        <v>0</v>
      </c>
      <c r="CE31" s="41"/>
      <c r="CF31" s="16" t="n">
        <f aca="false">IF(H31=0,0,U31+X31+AA31+AD31+AG31+AJ31+AM31+AP31+AS31+AV31+AY31+BB31+BE31+BH31+BL31+BP31+BT31+BZ31+CD31+CE31)</f>
        <v>0</v>
      </c>
      <c r="CG31" s="8" t="n">
        <f aca="false">(CF31*D31*N31^2/2)/100000</f>
        <v>0</v>
      </c>
      <c r="CH31" s="8" t="n">
        <f aca="false">(R31*H31/G31*D31*N31^2/2)/100000</f>
        <v>0</v>
      </c>
      <c r="CI31" s="8" t="n">
        <f aca="false">(9.81*D31*I31)/100000</f>
        <v>0</v>
      </c>
      <c r="CJ31" s="17" t="n">
        <f aca="false">CG31+CH31+CI31</f>
        <v>0</v>
      </c>
    </row>
    <row r="32" customFormat="false" ht="13.8" hidden="false" customHeight="false" outlineLevel="0" collapsed="false">
      <c r="B32" s="36" t="s">
        <v>97</v>
      </c>
      <c r="C32" s="37" t="s">
        <v>92</v>
      </c>
      <c r="D32" s="37" t="n">
        <v>1000</v>
      </c>
      <c r="E32" s="37" t="n">
        <v>25</v>
      </c>
      <c r="F32" s="38" t="n">
        <v>0.001</v>
      </c>
      <c r="G32" s="37" t="n">
        <v>0.05</v>
      </c>
      <c r="H32" s="37" t="n">
        <v>0</v>
      </c>
      <c r="I32" s="37" t="n">
        <v>0</v>
      </c>
      <c r="J32" s="37" t="n">
        <v>0.045</v>
      </c>
      <c r="K32" s="39" t="n">
        <f aca="false">(J32/1000)/G32</f>
        <v>0.0009</v>
      </c>
      <c r="L32" s="39" t="n">
        <f aca="false">L31</f>
        <v>49000</v>
      </c>
      <c r="M32" s="39" t="n">
        <f aca="false">L32/D32</f>
        <v>49</v>
      </c>
      <c r="N32" s="39" t="n">
        <f aca="false">3.54*M32/(G32*100)^2</f>
        <v>6.9384</v>
      </c>
      <c r="O32" s="40" t="n">
        <f aca="false">G32*N32*D32/F32</f>
        <v>346920</v>
      </c>
      <c r="P32" s="39" t="n">
        <f aca="false">(2.457*LN((((7/O32)^0.9+0.27*(J32/1000)/G32))^(-1)))^16</f>
        <v>6.09868945737298E+020</v>
      </c>
      <c r="Q32" s="39" t="n">
        <f aca="false">(37530/O32)^16</f>
        <v>3.51874363912498E-016</v>
      </c>
      <c r="R32" s="39" t="n">
        <f aca="false">IF(O32&lt;2000,64/O32,8*((8/O32)^12+1/(P32+Q32)^1.5)^(1/12))</f>
        <v>0.0201806626236193</v>
      </c>
      <c r="S32" s="41" t="n">
        <v>0</v>
      </c>
      <c r="T32" s="8" t="n">
        <v>0.75</v>
      </c>
      <c r="U32" s="17" t="n">
        <f aca="false">S32*T32</f>
        <v>0</v>
      </c>
      <c r="V32" s="41" t="n">
        <v>0</v>
      </c>
      <c r="W32" s="8" t="n">
        <v>0.45</v>
      </c>
      <c r="X32" s="17" t="n">
        <f aca="false">V32*W32</f>
        <v>0</v>
      </c>
      <c r="Y32" s="41" t="n">
        <v>0</v>
      </c>
      <c r="Z32" s="8" t="n">
        <v>0.35</v>
      </c>
      <c r="AA32" s="17" t="n">
        <f aca="false">Y32*Z32</f>
        <v>0</v>
      </c>
      <c r="AB32" s="41" t="n">
        <v>0</v>
      </c>
      <c r="AC32" s="8" t="n">
        <v>0.2</v>
      </c>
      <c r="AD32" s="17" t="n">
        <f aca="false">AB32*AC32</f>
        <v>0</v>
      </c>
      <c r="AE32" s="41" t="n">
        <v>0</v>
      </c>
      <c r="AF32" s="8" t="n">
        <v>0.04</v>
      </c>
      <c r="AG32" s="17" t="n">
        <f aca="false">AE32*AF32</f>
        <v>0</v>
      </c>
      <c r="AH32" s="41" t="n">
        <v>0</v>
      </c>
      <c r="AI32" s="8" t="n">
        <f aca="false">IF($AJ$25="Open",6,9.5)</f>
        <v>6</v>
      </c>
      <c r="AJ32" s="17" t="n">
        <f aca="false">AH32*AI32</f>
        <v>0</v>
      </c>
      <c r="AK32" s="41" t="n">
        <v>0</v>
      </c>
      <c r="AL32" s="8" t="n">
        <f aca="false">IF($AM$25="Open",9,IF($AM$25="3/4 Open",13,IF($AM$25="1/2 Open",36,112)))</f>
        <v>9</v>
      </c>
      <c r="AM32" s="17" t="n">
        <f aca="false">AK32*AL32</f>
        <v>0</v>
      </c>
      <c r="AN32" s="41" t="n">
        <v>0</v>
      </c>
      <c r="AO32" s="8" t="n">
        <f aca="false">IF($AP$25="Open",0.17,IF($AP$25="3/4 Open",0.9,IF($AP$25="1/2 Open",4.5,24)))</f>
        <v>0.17</v>
      </c>
      <c r="AP32" s="17" t="n">
        <f aca="false">AN32*AO32</f>
        <v>0</v>
      </c>
      <c r="AQ32" s="41" t="n">
        <v>0</v>
      </c>
      <c r="AR32" s="8" t="n">
        <f aca="false">32000000*(90-$AS$25)^-4</f>
        <v>0.487730528882792</v>
      </c>
      <c r="AS32" s="17" t="n">
        <f aca="false">AQ32*AR32</f>
        <v>0</v>
      </c>
      <c r="AT32" s="41" t="n">
        <v>0</v>
      </c>
      <c r="AU32" s="8" t="n">
        <f aca="false">10.5*($AV$25/(67-$AV$25))^2</f>
        <v>0</v>
      </c>
      <c r="AV32" s="17" t="n">
        <f aca="false">AT32*AU32</f>
        <v>0</v>
      </c>
      <c r="AW32" s="41" t="n">
        <v>0</v>
      </c>
      <c r="AX32" s="8" t="n">
        <f aca="false">IF($AY$25="Open",2.3,IF($AY$25="3/4 Open",2.6,IF($AY$25="1/2 Open",4.3,21)))</f>
        <v>2.3</v>
      </c>
      <c r="AY32" s="17" t="n">
        <f aca="false">AW32*AX32</f>
        <v>0</v>
      </c>
      <c r="AZ32" s="41" t="n">
        <v>0</v>
      </c>
      <c r="BA32" s="8" t="n">
        <v>4</v>
      </c>
      <c r="BB32" s="17" t="n">
        <f aca="false">AZ32*BA32</f>
        <v>0</v>
      </c>
      <c r="BC32" s="41" t="n">
        <v>0</v>
      </c>
      <c r="BD32" s="8" t="n">
        <v>1</v>
      </c>
      <c r="BE32" s="17" t="n">
        <f aca="false">BC32*BD32</f>
        <v>0</v>
      </c>
      <c r="BF32" s="41" t="n">
        <v>0</v>
      </c>
      <c r="BG32" s="8" t="n">
        <v>0.5</v>
      </c>
      <c r="BH32" s="17" t="n">
        <f aca="false">BF32*BG32</f>
        <v>0</v>
      </c>
      <c r="BI32" s="41" t="n">
        <v>0</v>
      </c>
      <c r="BJ32" s="42" t="n">
        <v>0.1</v>
      </c>
      <c r="BK32" s="8" t="n">
        <f aca="false">(1-(G32^2/BJ32^2))^2</f>
        <v>0.5625</v>
      </c>
      <c r="BL32" s="17" t="n">
        <f aca="false">BI32*BK32</f>
        <v>0</v>
      </c>
      <c r="BM32" s="41" t="n">
        <v>0</v>
      </c>
      <c r="BN32" s="42" t="n">
        <v>0.02</v>
      </c>
      <c r="BO32" s="8" t="n">
        <f aca="false">(1/(0.59+0.41*(BN32^2/G32^2)^3)-1)^2</f>
        <v>0.476244340137152</v>
      </c>
      <c r="BP32" s="17" t="n">
        <f aca="false">BM32*BO32</f>
        <v>0</v>
      </c>
      <c r="BQ32" s="41" t="n">
        <v>0</v>
      </c>
      <c r="BR32" s="42" t="n">
        <v>10</v>
      </c>
      <c r="BS32" s="8" t="n">
        <f aca="false">IF(BR32=10,0.065,IF(BR32=15,0.14,IF(BR32=20,0.26,IF(BR32=30,0.43,IF(BR32=45,0.52,0.62)))))</f>
        <v>0.065</v>
      </c>
      <c r="BT32" s="17" t="n">
        <f aca="false">BQ32*BS32</f>
        <v>0</v>
      </c>
      <c r="BU32" s="41" t="n">
        <v>0</v>
      </c>
      <c r="BV32" s="42" t="n">
        <v>45</v>
      </c>
      <c r="BW32" s="42" t="n">
        <v>0.05</v>
      </c>
      <c r="BX32" s="28" t="n">
        <f aca="false">0.59+0.41*(BW32^2/G32^2)^3</f>
        <v>1</v>
      </c>
      <c r="BY32" s="28" t="n">
        <f aca="false">IF(BV32&lt;90,(1/BX32-1)^2*SIN(BV32),(1/BX32-1)^2)</f>
        <v>0</v>
      </c>
      <c r="BZ32" s="17" t="n">
        <f aca="false">BU32*BY32</f>
        <v>0</v>
      </c>
      <c r="CA32" s="41" t="n">
        <v>0</v>
      </c>
      <c r="CB32" s="42" t="n">
        <v>0.05</v>
      </c>
      <c r="CC32" s="8" t="n">
        <f aca="false">2.8*(1-(CB32/G32)^2)*((G32/CB32)^4-1)</f>
        <v>0</v>
      </c>
      <c r="CD32" s="17" t="n">
        <f aca="false">CA32*CC32</f>
        <v>0</v>
      </c>
      <c r="CE32" s="41"/>
      <c r="CF32" s="16" t="n">
        <f aca="false">IF(H32=0,0,U32+X32+AA32+AD32+AG32+AJ32+AM32+AP32+AS32+AV32+AY32+BB32+BE32+BH32+BL32+BP32+BT32+BZ32+CD32+CE32)</f>
        <v>0</v>
      </c>
      <c r="CG32" s="8" t="n">
        <f aca="false">(CF32*D32*N32^2/2)/100000</f>
        <v>0</v>
      </c>
      <c r="CH32" s="8" t="n">
        <f aca="false">(R32*H32/G32*D32*N32^2/2)/100000</f>
        <v>0</v>
      </c>
      <c r="CI32" s="8" t="n">
        <f aca="false">(9.81*D32*I32)/100000</f>
        <v>0</v>
      </c>
      <c r="CJ32" s="17" t="n">
        <f aca="false">CG32+CH32+CI32</f>
        <v>0</v>
      </c>
    </row>
    <row r="33" customFormat="false" ht="13.8" hidden="false" customHeight="false" outlineLevel="0" collapsed="false">
      <c r="B33" s="36" t="s">
        <v>98</v>
      </c>
      <c r="C33" s="37" t="s">
        <v>92</v>
      </c>
      <c r="D33" s="37" t="n">
        <v>1000</v>
      </c>
      <c r="E33" s="37" t="n">
        <v>25</v>
      </c>
      <c r="F33" s="38" t="n">
        <v>0.001</v>
      </c>
      <c r="G33" s="37" t="n">
        <v>0.05</v>
      </c>
      <c r="H33" s="37" t="n">
        <v>0</v>
      </c>
      <c r="I33" s="37" t="n">
        <v>0</v>
      </c>
      <c r="J33" s="37" t="n">
        <v>0.045</v>
      </c>
      <c r="K33" s="39" t="n">
        <f aca="false">(J33/1000)/G33</f>
        <v>0.0009</v>
      </c>
      <c r="L33" s="39" t="n">
        <f aca="false">L32</f>
        <v>49000</v>
      </c>
      <c r="M33" s="39" t="n">
        <f aca="false">L33/D33</f>
        <v>49</v>
      </c>
      <c r="N33" s="39" t="n">
        <f aca="false">3.54*M33/(G33*100)^2</f>
        <v>6.9384</v>
      </c>
      <c r="O33" s="40" t="n">
        <f aca="false">G33*N33*D33/F33</f>
        <v>346920</v>
      </c>
      <c r="P33" s="39" t="n">
        <f aca="false">(2.457*LN((((7/O33)^0.9+0.27*(J33/1000)/G33))^(-1)))^16</f>
        <v>6.09868945737298E+020</v>
      </c>
      <c r="Q33" s="39" t="n">
        <f aca="false">(37530/O33)^16</f>
        <v>3.51874363912498E-016</v>
      </c>
      <c r="R33" s="39" t="n">
        <f aca="false">IF(O33&lt;2000,64/O33,8*((8/O33)^12+1/(P33+Q33)^1.5)^(1/12))</f>
        <v>0.0201806626236193</v>
      </c>
      <c r="S33" s="41" t="n">
        <v>0</v>
      </c>
      <c r="T33" s="8" t="n">
        <v>0.75</v>
      </c>
      <c r="U33" s="17" t="n">
        <f aca="false">S33*T33</f>
        <v>0</v>
      </c>
      <c r="V33" s="41" t="n">
        <v>0</v>
      </c>
      <c r="W33" s="8" t="n">
        <v>0.45</v>
      </c>
      <c r="X33" s="17" t="n">
        <f aca="false">V33*W33</f>
        <v>0</v>
      </c>
      <c r="Y33" s="41" t="n">
        <v>0</v>
      </c>
      <c r="Z33" s="8" t="n">
        <v>0.35</v>
      </c>
      <c r="AA33" s="17" t="n">
        <f aca="false">Y33*Z33</f>
        <v>0</v>
      </c>
      <c r="AB33" s="41" t="n">
        <v>0</v>
      </c>
      <c r="AC33" s="8" t="n">
        <v>0.2</v>
      </c>
      <c r="AD33" s="17" t="n">
        <f aca="false">AB33*AC33</f>
        <v>0</v>
      </c>
      <c r="AE33" s="41" t="n">
        <v>0</v>
      </c>
      <c r="AF33" s="8" t="n">
        <v>0.04</v>
      </c>
      <c r="AG33" s="17" t="n">
        <f aca="false">AE33*AF33</f>
        <v>0</v>
      </c>
      <c r="AH33" s="41" t="n">
        <v>0</v>
      </c>
      <c r="AI33" s="8" t="n">
        <f aca="false">IF($AJ$25="Open",6,9.5)</f>
        <v>6</v>
      </c>
      <c r="AJ33" s="17" t="n">
        <f aca="false">AH33*AI33</f>
        <v>0</v>
      </c>
      <c r="AK33" s="41" t="n">
        <v>0</v>
      </c>
      <c r="AL33" s="8" t="n">
        <f aca="false">IF($AM$25="Open",9,IF($AM$25="3/4 Open",13,IF($AM$25="1/2 Open",36,112)))</f>
        <v>9</v>
      </c>
      <c r="AM33" s="17" t="n">
        <f aca="false">AK33*AL33</f>
        <v>0</v>
      </c>
      <c r="AN33" s="41" t="n">
        <v>0</v>
      </c>
      <c r="AO33" s="8" t="n">
        <f aca="false">IF($AP$25="Open",0.17,IF($AP$25="3/4 Open",0.9,IF($AP$25="1/2 Open",4.5,24)))</f>
        <v>0.17</v>
      </c>
      <c r="AP33" s="17" t="n">
        <f aca="false">AN33*AO33</f>
        <v>0</v>
      </c>
      <c r="AQ33" s="41" t="n">
        <v>0</v>
      </c>
      <c r="AR33" s="8" t="n">
        <f aca="false">32000000*(90-$AS$25)^-4</f>
        <v>0.487730528882792</v>
      </c>
      <c r="AS33" s="17" t="n">
        <f aca="false">AQ33*AR33</f>
        <v>0</v>
      </c>
      <c r="AT33" s="41" t="n">
        <v>0</v>
      </c>
      <c r="AU33" s="8" t="n">
        <f aca="false">10.5*($AV$25/(67-$AV$25))^2</f>
        <v>0</v>
      </c>
      <c r="AV33" s="17" t="n">
        <f aca="false">AT33*AU33</f>
        <v>0</v>
      </c>
      <c r="AW33" s="41" t="n">
        <v>0</v>
      </c>
      <c r="AX33" s="8" t="n">
        <f aca="false">IF($AY$25="Open",2.3,IF($AY$25="3/4 Open",2.6,IF($AY$25="1/2 Open",4.3,21)))</f>
        <v>2.3</v>
      </c>
      <c r="AY33" s="17" t="n">
        <f aca="false">AW33*AX33</f>
        <v>0</v>
      </c>
      <c r="AZ33" s="41" t="n">
        <v>0</v>
      </c>
      <c r="BA33" s="8" t="n">
        <v>4</v>
      </c>
      <c r="BB33" s="17" t="n">
        <f aca="false">AZ33*BA33</f>
        <v>0</v>
      </c>
      <c r="BC33" s="41" t="n">
        <v>0</v>
      </c>
      <c r="BD33" s="8" t="n">
        <v>1</v>
      </c>
      <c r="BE33" s="17" t="n">
        <f aca="false">BC33*BD33</f>
        <v>0</v>
      </c>
      <c r="BF33" s="41" t="n">
        <v>0</v>
      </c>
      <c r="BG33" s="8" t="n">
        <v>0.5</v>
      </c>
      <c r="BH33" s="17" t="n">
        <f aca="false">BF33*BG33</f>
        <v>0</v>
      </c>
      <c r="BI33" s="41" t="n">
        <v>0</v>
      </c>
      <c r="BJ33" s="42" t="n">
        <v>0.1</v>
      </c>
      <c r="BK33" s="8" t="n">
        <f aca="false">(1-(G33^2/BJ33^2))^2</f>
        <v>0.5625</v>
      </c>
      <c r="BL33" s="17" t="n">
        <f aca="false">BI33*BK33</f>
        <v>0</v>
      </c>
      <c r="BM33" s="41" t="n">
        <v>0</v>
      </c>
      <c r="BN33" s="42" t="n">
        <v>0.02</v>
      </c>
      <c r="BO33" s="8" t="n">
        <f aca="false">(1/(0.59+0.41*(BN33^2/G33^2)^3)-1)^2</f>
        <v>0.476244340137152</v>
      </c>
      <c r="BP33" s="17" t="n">
        <f aca="false">BM33*BO33</f>
        <v>0</v>
      </c>
      <c r="BQ33" s="41" t="n">
        <v>0</v>
      </c>
      <c r="BR33" s="42" t="n">
        <v>10</v>
      </c>
      <c r="BS33" s="8" t="n">
        <f aca="false">IF(BR33=10,0.065,IF(BR33=15,0.14,IF(BR33=20,0.26,IF(BR33=30,0.43,IF(BR33=45,0.52,0.62)))))</f>
        <v>0.065</v>
      </c>
      <c r="BT33" s="17" t="n">
        <f aca="false">BQ33*BS33</f>
        <v>0</v>
      </c>
      <c r="BU33" s="41" t="n">
        <v>0</v>
      </c>
      <c r="BV33" s="42" t="n">
        <v>45</v>
      </c>
      <c r="BW33" s="42" t="n">
        <v>0.05</v>
      </c>
      <c r="BX33" s="28" t="n">
        <f aca="false">0.59+0.41*(BW33^2/G33^2)^3</f>
        <v>1</v>
      </c>
      <c r="BY33" s="28" t="n">
        <f aca="false">IF(BV33&lt;90,(1/BX33-1)^2*SIN(BV33),(1/BX33-1)^2)</f>
        <v>0</v>
      </c>
      <c r="BZ33" s="17" t="n">
        <f aca="false">BU33*BY33</f>
        <v>0</v>
      </c>
      <c r="CA33" s="41" t="n">
        <v>0</v>
      </c>
      <c r="CB33" s="42" t="n">
        <v>0.06</v>
      </c>
      <c r="CC33" s="8" t="n">
        <f aca="false">2.8*(1-(CB33/G33)^2)*((G33/CB33)^4-1)</f>
        <v>0.637864197530864</v>
      </c>
      <c r="CD33" s="17" t="n">
        <f aca="false">CA33*CC33</f>
        <v>0</v>
      </c>
      <c r="CE33" s="41"/>
      <c r="CF33" s="16" t="n">
        <f aca="false">IF(H33=0,0,U33+X33+AA33+AD33+AG33+AJ33+AM33+AP33+AS33+AV33+AY33+BB33+BE33+BH33+BL33+BP33+BT33+BZ33+CD33+CE33)</f>
        <v>0</v>
      </c>
      <c r="CG33" s="8" t="n">
        <f aca="false">(CF33*D33*N33^2/2)/100000</f>
        <v>0</v>
      </c>
      <c r="CH33" s="8" t="n">
        <f aca="false">(R33*H33/G33*D33*N33^2/2)/100000</f>
        <v>0</v>
      </c>
      <c r="CI33" s="8" t="n">
        <f aca="false">(9.81*D33*I33)/100000</f>
        <v>0</v>
      </c>
      <c r="CJ33" s="17" t="n">
        <f aca="false">CG33+CH33+CI33</f>
        <v>0</v>
      </c>
    </row>
    <row r="34" customFormat="false" ht="13.8" hidden="false" customHeight="false" outlineLevel="0" collapsed="false">
      <c r="B34" s="36" t="s">
        <v>99</v>
      </c>
      <c r="C34" s="37" t="s">
        <v>92</v>
      </c>
      <c r="D34" s="37" t="n">
        <v>1000</v>
      </c>
      <c r="E34" s="37" t="n">
        <v>25</v>
      </c>
      <c r="F34" s="38" t="n">
        <v>0.001</v>
      </c>
      <c r="G34" s="37" t="n">
        <v>0.05</v>
      </c>
      <c r="H34" s="37" t="n">
        <v>0</v>
      </c>
      <c r="I34" s="37" t="n">
        <v>0</v>
      </c>
      <c r="J34" s="37" t="n">
        <v>0.045</v>
      </c>
      <c r="K34" s="39" t="n">
        <f aca="false">(J34/1000)/G34</f>
        <v>0.0009</v>
      </c>
      <c r="L34" s="39" t="n">
        <f aca="false">L33</f>
        <v>49000</v>
      </c>
      <c r="M34" s="39" t="n">
        <f aca="false">L34/D34</f>
        <v>49</v>
      </c>
      <c r="N34" s="39" t="n">
        <f aca="false">3.54*M34/(G34*100)^2</f>
        <v>6.9384</v>
      </c>
      <c r="O34" s="40" t="n">
        <f aca="false">G34*N34*D34/F34</f>
        <v>346920</v>
      </c>
      <c r="P34" s="39" t="n">
        <f aca="false">(2.457*LN((((7/O34)^0.9+0.27*(J34/1000)/G34))^(-1)))^16</f>
        <v>6.09868945737298E+020</v>
      </c>
      <c r="Q34" s="39" t="n">
        <f aca="false">(37530/O34)^16</f>
        <v>3.51874363912498E-016</v>
      </c>
      <c r="R34" s="39" t="n">
        <f aca="false">IF(O34&lt;2000,64/O34,8*((8/O34)^12+1/(P34+Q34)^1.5)^(1/12))</f>
        <v>0.0201806626236193</v>
      </c>
      <c r="S34" s="41" t="n">
        <v>0</v>
      </c>
      <c r="T34" s="8" t="n">
        <v>0.75</v>
      </c>
      <c r="U34" s="17" t="n">
        <f aca="false">S34*T34</f>
        <v>0</v>
      </c>
      <c r="V34" s="41" t="n">
        <v>0</v>
      </c>
      <c r="W34" s="8" t="n">
        <v>0.45</v>
      </c>
      <c r="X34" s="17" t="n">
        <f aca="false">V34*W34</f>
        <v>0</v>
      </c>
      <c r="Y34" s="41" t="n">
        <v>0</v>
      </c>
      <c r="Z34" s="8" t="n">
        <v>0.35</v>
      </c>
      <c r="AA34" s="17" t="n">
        <f aca="false">Y34*Z34</f>
        <v>0</v>
      </c>
      <c r="AB34" s="41" t="n">
        <v>0</v>
      </c>
      <c r="AC34" s="8" t="n">
        <v>0.2</v>
      </c>
      <c r="AD34" s="17" t="n">
        <f aca="false">AB34*AC34</f>
        <v>0</v>
      </c>
      <c r="AE34" s="41" t="n">
        <v>0</v>
      </c>
      <c r="AF34" s="8" t="n">
        <v>0.04</v>
      </c>
      <c r="AG34" s="17" t="n">
        <f aca="false">AE34*AF34</f>
        <v>0</v>
      </c>
      <c r="AH34" s="41" t="n">
        <v>0</v>
      </c>
      <c r="AI34" s="8" t="n">
        <f aca="false">IF($AJ$25="Open",6,9.5)</f>
        <v>6</v>
      </c>
      <c r="AJ34" s="17" t="n">
        <f aca="false">AH34*AI34</f>
        <v>0</v>
      </c>
      <c r="AK34" s="41" t="n">
        <v>0</v>
      </c>
      <c r="AL34" s="8" t="n">
        <f aca="false">IF($AM$25="Open",9,IF($AM$25="3/4 Open",13,IF($AM$25="1/2 Open",36,112)))</f>
        <v>9</v>
      </c>
      <c r="AM34" s="17" t="n">
        <f aca="false">AK34*AL34</f>
        <v>0</v>
      </c>
      <c r="AN34" s="41" t="n">
        <v>0</v>
      </c>
      <c r="AO34" s="8" t="n">
        <f aca="false">IF($AP$25="Open",0.17,IF($AP$25="3/4 Open",0.9,IF($AP$25="1/2 Open",4.5,24)))</f>
        <v>0.17</v>
      </c>
      <c r="AP34" s="17" t="n">
        <f aca="false">AN34*AO34</f>
        <v>0</v>
      </c>
      <c r="AQ34" s="41" t="n">
        <v>0</v>
      </c>
      <c r="AR34" s="8" t="n">
        <f aca="false">32000000*(90-$AS$25)^-4</f>
        <v>0.487730528882792</v>
      </c>
      <c r="AS34" s="17" t="n">
        <f aca="false">AQ34*AR34</f>
        <v>0</v>
      </c>
      <c r="AT34" s="41" t="n">
        <v>0</v>
      </c>
      <c r="AU34" s="8" t="n">
        <f aca="false">10.5*($AV$25/(67-$AV$25))^2</f>
        <v>0</v>
      </c>
      <c r="AV34" s="17" t="n">
        <f aca="false">AT34*AU34</f>
        <v>0</v>
      </c>
      <c r="AW34" s="41" t="n">
        <v>0</v>
      </c>
      <c r="AX34" s="8" t="n">
        <f aca="false">IF($AY$25="Open",2.3,IF($AY$25="3/4 Open",2.6,IF($AY$25="1/2 Open",4.3,21)))</f>
        <v>2.3</v>
      </c>
      <c r="AY34" s="17" t="n">
        <f aca="false">AW34*AX34</f>
        <v>0</v>
      </c>
      <c r="AZ34" s="41" t="n">
        <v>0</v>
      </c>
      <c r="BA34" s="8" t="n">
        <v>4</v>
      </c>
      <c r="BB34" s="17" t="n">
        <f aca="false">AZ34*BA34</f>
        <v>0</v>
      </c>
      <c r="BC34" s="41" t="n">
        <v>0</v>
      </c>
      <c r="BD34" s="8" t="n">
        <v>1</v>
      </c>
      <c r="BE34" s="17" t="n">
        <f aca="false">BC34*BD34</f>
        <v>0</v>
      </c>
      <c r="BF34" s="41" t="n">
        <v>0</v>
      </c>
      <c r="BG34" s="8" t="n">
        <v>0.5</v>
      </c>
      <c r="BH34" s="17" t="n">
        <f aca="false">BF34*BG34</f>
        <v>0</v>
      </c>
      <c r="BI34" s="41" t="n">
        <v>0</v>
      </c>
      <c r="BJ34" s="42" t="n">
        <v>0.1</v>
      </c>
      <c r="BK34" s="8" t="n">
        <f aca="false">(1-(G34^2/BJ34^2))^2</f>
        <v>0.5625</v>
      </c>
      <c r="BL34" s="17" t="n">
        <f aca="false">BI34*BK34</f>
        <v>0</v>
      </c>
      <c r="BM34" s="41" t="n">
        <v>0</v>
      </c>
      <c r="BN34" s="42" t="n">
        <v>0.02</v>
      </c>
      <c r="BO34" s="8" t="n">
        <f aca="false">(1/(0.59+0.41*(BN34^2/G34^2)^3)-1)^2</f>
        <v>0.476244340137152</v>
      </c>
      <c r="BP34" s="17" t="n">
        <f aca="false">BM34*BO34</f>
        <v>0</v>
      </c>
      <c r="BQ34" s="41" t="n">
        <v>0</v>
      </c>
      <c r="BR34" s="42" t="n">
        <v>10</v>
      </c>
      <c r="BS34" s="8" t="n">
        <f aca="false">IF(BR34=10,0.065,IF(BR34=15,0.14,IF(BR34=20,0.26,IF(BR34=30,0.43,IF(BR34=45,0.52,0.62)))))</f>
        <v>0.065</v>
      </c>
      <c r="BT34" s="17" t="n">
        <f aca="false">BQ34*BS34</f>
        <v>0</v>
      </c>
      <c r="BU34" s="41" t="n">
        <v>0</v>
      </c>
      <c r="BV34" s="42" t="n">
        <v>45</v>
      </c>
      <c r="BW34" s="42" t="n">
        <v>0.05</v>
      </c>
      <c r="BX34" s="28" t="n">
        <f aca="false">0.59+0.41*(BW34^2/G34^2)^3</f>
        <v>1</v>
      </c>
      <c r="BY34" s="28" t="n">
        <f aca="false">IF(BV34&lt;90,(1/BX34-1)^2*SIN(BV34),(1/BX34-1)^2)</f>
        <v>0</v>
      </c>
      <c r="BZ34" s="17" t="n">
        <f aca="false">BU34*BY34</f>
        <v>0</v>
      </c>
      <c r="CA34" s="41" t="n">
        <v>0</v>
      </c>
      <c r="CB34" s="42" t="n">
        <v>0.07</v>
      </c>
      <c r="CC34" s="8" t="n">
        <f aca="false">2.8*(1-(CB34/G34)^2)*((G34/CB34)^4-1)</f>
        <v>1.98829154518951</v>
      </c>
      <c r="CD34" s="17" t="n">
        <f aca="false">CA34*CC34</f>
        <v>0</v>
      </c>
      <c r="CE34" s="41"/>
      <c r="CF34" s="16" t="n">
        <f aca="false">IF(H34=0,0,U34+X34+AA34+AD34+AG34+AJ34+AM34+AP34+AS34+AV34+AY34+BB34+BE34+BH34+BL34+BP34+BT34+BZ34+CD34+CE34)</f>
        <v>0</v>
      </c>
      <c r="CG34" s="8" t="n">
        <f aca="false">(CF34*D34*N34^2/2)/100000</f>
        <v>0</v>
      </c>
      <c r="CH34" s="8" t="n">
        <f aca="false">(R34*H34/G34*D34*N34^2/2)/100000</f>
        <v>0</v>
      </c>
      <c r="CI34" s="8" t="n">
        <f aca="false">(9.81*D34*I34)/100000</f>
        <v>0</v>
      </c>
      <c r="CJ34" s="17" t="n">
        <f aca="false">CG34+CH34+CI34</f>
        <v>0</v>
      </c>
    </row>
    <row r="35" customFormat="false" ht="13.8" hidden="false" customHeight="false" outlineLevel="0" collapsed="false">
      <c r="B35" s="36" t="s">
        <v>100</v>
      </c>
      <c r="C35" s="37" t="s">
        <v>92</v>
      </c>
      <c r="D35" s="37" t="n">
        <v>1000</v>
      </c>
      <c r="E35" s="37" t="n">
        <v>25</v>
      </c>
      <c r="F35" s="38" t="n">
        <v>0.001</v>
      </c>
      <c r="G35" s="37" t="n">
        <v>0.05</v>
      </c>
      <c r="H35" s="37" t="n">
        <v>0</v>
      </c>
      <c r="I35" s="37" t="n">
        <v>0</v>
      </c>
      <c r="J35" s="37" t="n">
        <v>0.045</v>
      </c>
      <c r="K35" s="39" t="n">
        <f aca="false">(J35/1000)/G35</f>
        <v>0.0009</v>
      </c>
      <c r="L35" s="39" t="n">
        <f aca="false">L34</f>
        <v>49000</v>
      </c>
      <c r="M35" s="39" t="n">
        <f aca="false">L35/D35</f>
        <v>49</v>
      </c>
      <c r="N35" s="39" t="n">
        <f aca="false">3.54*M35/(G35*100)^2</f>
        <v>6.9384</v>
      </c>
      <c r="O35" s="40" t="n">
        <f aca="false">G35*N35*D35/F35</f>
        <v>346920</v>
      </c>
      <c r="P35" s="39" t="n">
        <f aca="false">(2.457*LN((((7/O35)^0.9+0.27*(J35/1000)/G35))^(-1)))^16</f>
        <v>6.09868945737298E+020</v>
      </c>
      <c r="Q35" s="39" t="n">
        <f aca="false">(37530/O35)^16</f>
        <v>3.51874363912498E-016</v>
      </c>
      <c r="R35" s="39" t="n">
        <f aca="false">IF(O35&lt;2000,64/O35,8*((8/O35)^12+1/(P35+Q35)^1.5)^(1/12))</f>
        <v>0.0201806626236193</v>
      </c>
      <c r="S35" s="41" t="n">
        <v>0</v>
      </c>
      <c r="T35" s="8" t="n">
        <v>0.75</v>
      </c>
      <c r="U35" s="17" t="n">
        <f aca="false">S35*T35</f>
        <v>0</v>
      </c>
      <c r="V35" s="41" t="n">
        <v>0</v>
      </c>
      <c r="W35" s="8" t="n">
        <v>0.45</v>
      </c>
      <c r="X35" s="17" t="n">
        <f aca="false">V35*W35</f>
        <v>0</v>
      </c>
      <c r="Y35" s="41" t="n">
        <v>0</v>
      </c>
      <c r="Z35" s="8" t="n">
        <v>0.35</v>
      </c>
      <c r="AA35" s="17" t="n">
        <f aca="false">Y35*Z35</f>
        <v>0</v>
      </c>
      <c r="AB35" s="41" t="n">
        <v>0</v>
      </c>
      <c r="AC35" s="8" t="n">
        <v>0.2</v>
      </c>
      <c r="AD35" s="17" t="n">
        <f aca="false">AB35*AC35</f>
        <v>0</v>
      </c>
      <c r="AE35" s="41" t="n">
        <v>0</v>
      </c>
      <c r="AF35" s="8" t="n">
        <v>0.04</v>
      </c>
      <c r="AG35" s="17" t="n">
        <f aca="false">AE35*AF35</f>
        <v>0</v>
      </c>
      <c r="AH35" s="41" t="n">
        <v>0</v>
      </c>
      <c r="AI35" s="8" t="n">
        <f aca="false">IF($AJ$25="Open",6,9.5)</f>
        <v>6</v>
      </c>
      <c r="AJ35" s="17" t="n">
        <f aca="false">AH35*AI35</f>
        <v>0</v>
      </c>
      <c r="AK35" s="41" t="n">
        <v>0</v>
      </c>
      <c r="AL35" s="8" t="n">
        <f aca="false">IF($AM$25="Open",9,IF($AM$25="3/4 Open",13,IF($AM$25="1/2 Open",36,112)))</f>
        <v>9</v>
      </c>
      <c r="AM35" s="17" t="n">
        <f aca="false">AK35*AL35</f>
        <v>0</v>
      </c>
      <c r="AN35" s="41" t="n">
        <v>0</v>
      </c>
      <c r="AO35" s="8" t="n">
        <f aca="false">IF($AP$25="Open",0.17,IF($AP$25="3/4 Open",0.9,IF($AP$25="1/2 Open",4.5,24)))</f>
        <v>0.17</v>
      </c>
      <c r="AP35" s="17" t="n">
        <f aca="false">AN35*AO35</f>
        <v>0</v>
      </c>
      <c r="AQ35" s="41" t="n">
        <v>0</v>
      </c>
      <c r="AR35" s="8" t="n">
        <f aca="false">32000000*(90-$AS$25)^-4</f>
        <v>0.487730528882792</v>
      </c>
      <c r="AS35" s="17" t="n">
        <f aca="false">AQ35*AR35</f>
        <v>0</v>
      </c>
      <c r="AT35" s="41" t="n">
        <v>0</v>
      </c>
      <c r="AU35" s="8" t="n">
        <f aca="false">10.5*($AV$25/(67-$AV$25))^2</f>
        <v>0</v>
      </c>
      <c r="AV35" s="17" t="n">
        <f aca="false">AT35*AU35</f>
        <v>0</v>
      </c>
      <c r="AW35" s="41" t="n">
        <v>0</v>
      </c>
      <c r="AX35" s="8" t="n">
        <f aca="false">IF($AY$25="Open",2.3,IF($AY$25="3/4 Open",2.6,IF($AY$25="1/2 Open",4.3,21)))</f>
        <v>2.3</v>
      </c>
      <c r="AY35" s="17" t="n">
        <f aca="false">AW35*AX35</f>
        <v>0</v>
      </c>
      <c r="AZ35" s="41" t="n">
        <v>0</v>
      </c>
      <c r="BA35" s="8" t="n">
        <v>4</v>
      </c>
      <c r="BB35" s="17" t="n">
        <f aca="false">AZ35*BA35</f>
        <v>0</v>
      </c>
      <c r="BC35" s="41" t="n">
        <v>0</v>
      </c>
      <c r="BD35" s="8" t="n">
        <v>1</v>
      </c>
      <c r="BE35" s="17" t="n">
        <f aca="false">BC35*BD35</f>
        <v>0</v>
      </c>
      <c r="BF35" s="41" t="n">
        <v>0</v>
      </c>
      <c r="BG35" s="8" t="n">
        <v>0.5</v>
      </c>
      <c r="BH35" s="17" t="n">
        <f aca="false">BF35*BG35</f>
        <v>0</v>
      </c>
      <c r="BI35" s="41" t="n">
        <v>0</v>
      </c>
      <c r="BJ35" s="42" t="n">
        <v>0.1</v>
      </c>
      <c r="BK35" s="8" t="n">
        <f aca="false">(1-(G35^2/BJ35^2))^2</f>
        <v>0.5625</v>
      </c>
      <c r="BL35" s="17" t="n">
        <f aca="false">BI35*BK35</f>
        <v>0</v>
      </c>
      <c r="BM35" s="41" t="n">
        <v>0</v>
      </c>
      <c r="BN35" s="42" t="n">
        <v>0.02</v>
      </c>
      <c r="BO35" s="8" t="n">
        <f aca="false">(1/(0.59+0.41*(BN35^2/G35^2)^3)-1)^2</f>
        <v>0.476244340137152</v>
      </c>
      <c r="BP35" s="17" t="n">
        <f aca="false">BM35*BO35</f>
        <v>0</v>
      </c>
      <c r="BQ35" s="41" t="n">
        <v>0</v>
      </c>
      <c r="BR35" s="42" t="n">
        <v>10</v>
      </c>
      <c r="BS35" s="8" t="n">
        <f aca="false">IF(BR35=10,0.065,IF(BR35=15,0.14,IF(BR35=20,0.26,IF(BR35=30,0.43,IF(BR35=45,0.52,0.62)))))</f>
        <v>0.065</v>
      </c>
      <c r="BT35" s="17" t="n">
        <f aca="false">BQ35*BS35</f>
        <v>0</v>
      </c>
      <c r="BU35" s="41" t="n">
        <v>0</v>
      </c>
      <c r="BV35" s="42" t="n">
        <v>45</v>
      </c>
      <c r="BW35" s="42" t="n">
        <v>0.05</v>
      </c>
      <c r="BX35" s="28" t="n">
        <f aca="false">0.59+0.41*(BW35^2/G35^2)^3</f>
        <v>1</v>
      </c>
      <c r="BY35" s="28" t="n">
        <f aca="false">IF(BV35&lt;90,(1/BX35-1)^2*SIN(BV35),(1/BX35-1)^2)</f>
        <v>0</v>
      </c>
      <c r="BZ35" s="17" t="n">
        <f aca="false">BU35*BY35</f>
        <v>0</v>
      </c>
      <c r="CA35" s="41" t="n">
        <v>0</v>
      </c>
      <c r="CB35" s="42" t="n">
        <v>0.08</v>
      </c>
      <c r="CC35" s="8" t="n">
        <f aca="false">2.8*(1-(CB35/G35)^2)*((G35/CB35)^4-1)</f>
        <v>3.70149609375</v>
      </c>
      <c r="CD35" s="17" t="n">
        <f aca="false">CA35*CC35</f>
        <v>0</v>
      </c>
      <c r="CE35" s="41"/>
      <c r="CF35" s="16" t="n">
        <f aca="false">IF(H35=0,0,U35+X35+AA35+AD35+AG35+AJ35+AM35+AP35+AS35+AV35+AY35+BB35+BE35+BH35+BL35+BP35+BT35+BZ35+CD35+CE35)</f>
        <v>0</v>
      </c>
      <c r="CG35" s="8" t="n">
        <f aca="false">(CF35*D35*N35^2/2)/100000</f>
        <v>0</v>
      </c>
      <c r="CH35" s="8" t="n">
        <f aca="false">(R35*H35/G35*D35*N35^2/2)/100000</f>
        <v>0</v>
      </c>
      <c r="CI35" s="8" t="n">
        <f aca="false">(9.81*D35*I35)/100000</f>
        <v>0</v>
      </c>
      <c r="CJ35" s="17" t="n">
        <f aca="false">CG35+CH35+CI35</f>
        <v>0</v>
      </c>
    </row>
    <row r="36" customFormat="false" ht="13.8" hidden="false" customHeight="false" outlineLevel="0" collapsed="false">
      <c r="B36" s="43" t="s">
        <v>101</v>
      </c>
      <c r="C36" s="44" t="s">
        <v>92</v>
      </c>
      <c r="D36" s="44" t="n">
        <v>1000</v>
      </c>
      <c r="E36" s="44" t="n">
        <v>25</v>
      </c>
      <c r="F36" s="45" t="n">
        <v>0.001</v>
      </c>
      <c r="G36" s="44" t="n">
        <v>0.05</v>
      </c>
      <c r="H36" s="44" t="n">
        <v>0</v>
      </c>
      <c r="I36" s="44" t="n">
        <v>0</v>
      </c>
      <c r="J36" s="44" t="n">
        <v>0.045</v>
      </c>
      <c r="K36" s="10" t="n">
        <f aca="false">(J36/1000)/G36</f>
        <v>0.0009</v>
      </c>
      <c r="L36" s="10" t="n">
        <f aca="false">L35</f>
        <v>49000</v>
      </c>
      <c r="M36" s="10" t="n">
        <f aca="false">L36/D36</f>
        <v>49</v>
      </c>
      <c r="N36" s="10" t="n">
        <f aca="false">3.54*M36/(G36*100)^2</f>
        <v>6.9384</v>
      </c>
      <c r="O36" s="46" t="n">
        <f aca="false">G36*N36*D36/F36</f>
        <v>346920</v>
      </c>
      <c r="P36" s="10" t="n">
        <f aca="false">(2.457*LN((((7/O36)^0.9+0.27*(J36/1000)/G36))^(-1)))^16</f>
        <v>6.09868945737298E+020</v>
      </c>
      <c r="Q36" s="10" t="n">
        <f aca="false">(37530/O36)^16</f>
        <v>3.51874363912498E-016</v>
      </c>
      <c r="R36" s="10" t="n">
        <f aca="false">IF(O36&lt;2000,64/O36,8*((8/O36)^12+1/(P36+Q36)^1.5)^(1/12))</f>
        <v>0.0201806626236193</v>
      </c>
      <c r="S36" s="47" t="n">
        <v>0</v>
      </c>
      <c r="T36" s="48" t="n">
        <v>0.75</v>
      </c>
      <c r="U36" s="11" t="n">
        <f aca="false">S36*T36</f>
        <v>0</v>
      </c>
      <c r="V36" s="47" t="n">
        <v>0</v>
      </c>
      <c r="W36" s="48" t="n">
        <v>0.45</v>
      </c>
      <c r="X36" s="11" t="n">
        <f aca="false">V36*W36</f>
        <v>0</v>
      </c>
      <c r="Y36" s="47" t="n">
        <v>0</v>
      </c>
      <c r="Z36" s="48" t="n">
        <v>0.35</v>
      </c>
      <c r="AA36" s="11" t="n">
        <f aca="false">Y36*Z36</f>
        <v>0</v>
      </c>
      <c r="AB36" s="47" t="n">
        <v>0</v>
      </c>
      <c r="AC36" s="48" t="n">
        <v>0.2</v>
      </c>
      <c r="AD36" s="11" t="n">
        <f aca="false">AB36*AC36</f>
        <v>0</v>
      </c>
      <c r="AE36" s="47" t="n">
        <v>0</v>
      </c>
      <c r="AF36" s="48" t="n">
        <v>0.04</v>
      </c>
      <c r="AG36" s="11" t="n">
        <f aca="false">AE36*AF36</f>
        <v>0</v>
      </c>
      <c r="AH36" s="47" t="n">
        <v>0</v>
      </c>
      <c r="AI36" s="48" t="n">
        <f aca="false">IF($AJ$25="Open",6,9.5)</f>
        <v>6</v>
      </c>
      <c r="AJ36" s="11" t="n">
        <f aca="false">AH36*AI36</f>
        <v>0</v>
      </c>
      <c r="AK36" s="47" t="n">
        <v>0</v>
      </c>
      <c r="AL36" s="48" t="n">
        <f aca="false">IF($AM$25="Open",9,IF($AM$25="3/4 Open",13,IF($AM$25="1/2 Open",36,112)))</f>
        <v>9</v>
      </c>
      <c r="AM36" s="11" t="n">
        <f aca="false">AK36*AL36</f>
        <v>0</v>
      </c>
      <c r="AN36" s="47" t="n">
        <v>0</v>
      </c>
      <c r="AO36" s="48" t="n">
        <f aca="false">IF($AP$25="Open",0.17,IF($AP$25="3/4 Open",0.9,IF($AP$25="1/2 Open",4.5,24)))</f>
        <v>0.17</v>
      </c>
      <c r="AP36" s="11" t="n">
        <f aca="false">AN36*AO36</f>
        <v>0</v>
      </c>
      <c r="AQ36" s="47" t="n">
        <v>0</v>
      </c>
      <c r="AR36" s="48" t="n">
        <f aca="false">32000000*(90-$AS$25)^-4</f>
        <v>0.487730528882792</v>
      </c>
      <c r="AS36" s="11" t="n">
        <f aca="false">AQ36*AR36</f>
        <v>0</v>
      </c>
      <c r="AT36" s="47" t="n">
        <v>0</v>
      </c>
      <c r="AU36" s="48" t="n">
        <f aca="false">10.5*($AV$25/(67-$AV$25))^2</f>
        <v>0</v>
      </c>
      <c r="AV36" s="11" t="n">
        <f aca="false">AT36*AU36</f>
        <v>0</v>
      </c>
      <c r="AW36" s="47" t="n">
        <v>0</v>
      </c>
      <c r="AX36" s="48" t="n">
        <f aca="false">IF($AY$25="Open",2.3,IF($AY$25="3/4 Open",2.6,IF($AY$25="1/2 Open",4.3,21)))</f>
        <v>2.3</v>
      </c>
      <c r="AY36" s="11" t="n">
        <f aca="false">AW36*AX36</f>
        <v>0</v>
      </c>
      <c r="AZ36" s="47" t="n">
        <v>0</v>
      </c>
      <c r="BA36" s="48" t="n">
        <v>4</v>
      </c>
      <c r="BB36" s="11" t="n">
        <f aca="false">AZ36*BA36</f>
        <v>0</v>
      </c>
      <c r="BC36" s="47" t="n">
        <v>0</v>
      </c>
      <c r="BD36" s="48" t="n">
        <v>1</v>
      </c>
      <c r="BE36" s="11" t="n">
        <f aca="false">BC36*BD36</f>
        <v>0</v>
      </c>
      <c r="BF36" s="47" t="n">
        <v>0</v>
      </c>
      <c r="BG36" s="48" t="n">
        <v>0.5</v>
      </c>
      <c r="BH36" s="11" t="n">
        <f aca="false">BF36*BG36</f>
        <v>0</v>
      </c>
      <c r="BI36" s="47" t="n">
        <v>0</v>
      </c>
      <c r="BJ36" s="49" t="n">
        <v>0.1</v>
      </c>
      <c r="BK36" s="48" t="n">
        <f aca="false">(1-(G36^2/BJ36^2))^2</f>
        <v>0.5625</v>
      </c>
      <c r="BL36" s="11" t="n">
        <f aca="false">BI36*BK36</f>
        <v>0</v>
      </c>
      <c r="BM36" s="47" t="n">
        <v>0</v>
      </c>
      <c r="BN36" s="49" t="n">
        <v>0.02</v>
      </c>
      <c r="BO36" s="48" t="n">
        <f aca="false">(1/(0.59+0.41*(BN36^2/G36^2)^3)-1)^2</f>
        <v>0.476244340137152</v>
      </c>
      <c r="BP36" s="11" t="n">
        <f aca="false">BM36*BO36</f>
        <v>0</v>
      </c>
      <c r="BQ36" s="47" t="n">
        <v>0</v>
      </c>
      <c r="BR36" s="49" t="n">
        <v>10</v>
      </c>
      <c r="BS36" s="48" t="n">
        <f aca="false">IF(BR36=10,0.065,IF(BR36=15,0.14,IF(BR36=20,0.26,IF(BR36=30,0.43,IF(BR36=45,0.52,0.62)))))</f>
        <v>0.065</v>
      </c>
      <c r="BT36" s="11" t="n">
        <f aca="false">BQ36*BS36</f>
        <v>0</v>
      </c>
      <c r="BU36" s="47" t="n">
        <v>0</v>
      </c>
      <c r="BV36" s="49" t="n">
        <v>45</v>
      </c>
      <c r="BW36" s="49" t="n">
        <v>0.05</v>
      </c>
      <c r="BX36" s="48" t="n">
        <f aca="false">0.59+0.41*(BW36^2/G36^2)^3</f>
        <v>1</v>
      </c>
      <c r="BY36" s="48" t="n">
        <f aca="false">IF(BV36&lt;90,(1/BX36-1)^2*SIN(BV36),(1/BX36-1)^2)</f>
        <v>0</v>
      </c>
      <c r="BZ36" s="11" t="n">
        <f aca="false">BU36*BY36</f>
        <v>0</v>
      </c>
      <c r="CA36" s="47" t="n">
        <v>0</v>
      </c>
      <c r="CB36" s="49" t="n">
        <v>0.09</v>
      </c>
      <c r="CC36" s="48" t="n">
        <f aca="false">2.8*(1-(CB36/G36)^2)*((G36/CB36)^4-1)</f>
        <v>5.67453010211858</v>
      </c>
      <c r="CD36" s="11" t="n">
        <f aca="false">CA36*CC36</f>
        <v>0</v>
      </c>
      <c r="CE36" s="47"/>
      <c r="CF36" s="9" t="n">
        <f aca="false">IF(H36=0,0,U36+X36+AA36+AD36+AG36+AJ36+AM36+AP36+AS36+AV36+AY36+BB36+BE36+BH36+BL36+BP36+BT36+BZ36+CD36+CE36)</f>
        <v>0</v>
      </c>
      <c r="CG36" s="48" t="n">
        <f aca="false">(CF36*D36*N36^2/2)/100000</f>
        <v>0</v>
      </c>
      <c r="CH36" s="48" t="n">
        <f aca="false">(R36*H36/G36*D36*N36^2/2)/100000</f>
        <v>0</v>
      </c>
      <c r="CI36" s="48" t="n">
        <f aca="false">(9.81*D36*I36)/100000</f>
        <v>0</v>
      </c>
      <c r="CJ36" s="11" t="n">
        <f aca="false">CG36+CH36+CI36</f>
        <v>0</v>
      </c>
    </row>
    <row r="37" customFormat="false" ht="13.8" hidden="false" customHeight="false" outlineLevel="0" collapsed="false">
      <c r="CG37" s="28" t="n">
        <f aca="false">SUM(CG27:CG36)</f>
        <v>0.0394526097</v>
      </c>
      <c r="CH37" s="28" t="n">
        <f aca="false">SUM(CH27:CH36)</f>
        <v>0.389533517739918</v>
      </c>
      <c r="CI37" s="28" t="n">
        <f aca="false">SUM(CI27:CI36)</f>
        <v>0</v>
      </c>
      <c r="CJ37" s="50" t="n">
        <f aca="false">SUM(CJ27:CJ36)</f>
        <v>0.428986127439918</v>
      </c>
    </row>
    <row r="38" customFormat="false" ht="12.8" hidden="false" customHeight="false" outlineLevel="0" collapsed="false">
      <c r="B38" s="51" t="s">
        <v>102</v>
      </c>
    </row>
    <row r="39" customFormat="false" ht="12.8" hidden="false" customHeight="false" outlineLevel="0" collapsed="false">
      <c r="B39" s="52" t="s">
        <v>103</v>
      </c>
      <c r="AY39" s="0" t="n">
        <f aca="false">DEGREES(PI()/2)</f>
        <v>90</v>
      </c>
    </row>
    <row r="40" customFormat="false" ht="12.8" hidden="false" customHeight="false" outlineLevel="0" collapsed="false">
      <c r="B40" s="52" t="s">
        <v>104</v>
      </c>
    </row>
    <row r="41" customFormat="false" ht="12.8" hidden="false" customHeight="false" outlineLevel="0" collapsed="false">
      <c r="B41" s="52" t="s">
        <v>105</v>
      </c>
    </row>
    <row r="43" customFormat="false" ht="12.8" hidden="false" customHeight="false" outlineLevel="0" collapsed="false">
      <c r="B43" s="53" t="s">
        <v>106</v>
      </c>
      <c r="C43" s="53"/>
      <c r="D43" s="53"/>
      <c r="E43" s="53"/>
      <c r="F43" s="53"/>
      <c r="G43" s="53"/>
      <c r="H43" s="53"/>
      <c r="I43" s="53"/>
      <c r="J43" s="53"/>
    </row>
    <row r="44" customFormat="false" ht="12.8" hidden="false" customHeight="false" outlineLevel="0" collapsed="false">
      <c r="B44" s="53"/>
      <c r="C44" s="53"/>
      <c r="D44" s="53"/>
      <c r="E44" s="53"/>
      <c r="F44" s="53"/>
      <c r="G44" s="53"/>
      <c r="H44" s="53"/>
      <c r="I44" s="53"/>
      <c r="J44" s="53"/>
    </row>
    <row r="45" customFormat="false" ht="12.8" hidden="false" customHeight="false" outlineLevel="0" collapsed="false">
      <c r="B45" s="54" t="s">
        <v>107</v>
      </c>
      <c r="C45" s="53"/>
      <c r="D45" s="53"/>
      <c r="E45" s="53"/>
      <c r="F45" s="53"/>
      <c r="G45" s="53"/>
      <c r="H45" s="53"/>
      <c r="I45" s="53"/>
      <c r="J45" s="53"/>
    </row>
    <row r="46" customFormat="false" ht="12.8" hidden="false" customHeight="false" outlineLevel="0" collapsed="false">
      <c r="B46" s="53"/>
      <c r="C46" s="53"/>
      <c r="D46" s="53"/>
      <c r="E46" s="53"/>
      <c r="F46" s="53"/>
      <c r="G46" s="53"/>
      <c r="H46" s="53"/>
      <c r="I46" s="53"/>
      <c r="J46" s="53"/>
    </row>
    <row r="47" customFormat="false" ht="45.7" hidden="false" customHeight="true" outlineLevel="0" collapsed="false">
      <c r="B47" s="55" t="s">
        <v>108</v>
      </c>
      <c r="C47" s="55"/>
      <c r="D47" s="55"/>
      <c r="E47" s="55"/>
      <c r="F47" s="55"/>
      <c r="G47" s="55"/>
      <c r="H47" s="55"/>
      <c r="I47" s="55"/>
      <c r="J47" s="55"/>
    </row>
    <row r="49" s="2" customFormat="true" ht="12.8" hidden="false" customHeight="false" outlineLevel="0" collapsed="false">
      <c r="A49" s="1" t="s">
        <v>0</v>
      </c>
    </row>
  </sheetData>
  <sheetProtection sheet="true" password="c80a" objects="true" scenarios="true"/>
  <mergeCells count="3">
    <mergeCell ref="CE15:CE25"/>
    <mergeCell ref="P24:R24"/>
    <mergeCell ref="B47:J47"/>
  </mergeCells>
  <conditionalFormatting sqref="S27:S36">
    <cfRule type="cellIs" priority="2" operator="greaterThan" aboveAverage="0" equalAverage="0" bottom="0" percent="0" rank="0" text="" dxfId="0">
      <formula>0</formula>
    </cfRule>
    <cfRule type="cellIs" priority="3" operator="equal" aboveAverage="0" equalAverage="0" bottom="0" percent="0" rank="0" text="" dxfId="1">
      <formula>0</formula>
    </cfRule>
  </conditionalFormatting>
  <conditionalFormatting sqref="V27:V36">
    <cfRule type="cellIs" priority="4" operator="greaterThan" aboveAverage="0" equalAverage="0" bottom="0" percent="0" rank="0" text="" dxfId="0">
      <formula>0</formula>
    </cfRule>
    <cfRule type="cellIs" priority="5" operator="equal" aboveAverage="0" equalAverage="0" bottom="0" percent="0" rank="0" text="" dxfId="1">
      <formula>0</formula>
    </cfRule>
  </conditionalFormatting>
  <conditionalFormatting sqref="Y27:Y36">
    <cfRule type="cellIs" priority="6" operator="greaterThan" aboveAverage="0" equalAverage="0" bottom="0" percent="0" rank="0" text="" dxfId="0">
      <formula>0</formula>
    </cfRule>
    <cfRule type="cellIs" priority="7" operator="equal" aboveAverage="0" equalAverage="0" bottom="0" percent="0" rank="0" text="" dxfId="1">
      <formula>0</formula>
    </cfRule>
  </conditionalFormatting>
  <conditionalFormatting sqref="AB27:AB36">
    <cfRule type="cellIs" priority="8" operator="greaterThan" aboveAverage="0" equalAverage="0" bottom="0" percent="0" rank="0" text="" dxfId="0">
      <formula>0</formula>
    </cfRule>
    <cfRule type="cellIs" priority="9" operator="equal" aboveAverage="0" equalAverage="0" bottom="0" percent="0" rank="0" text="" dxfId="1">
      <formula>0</formula>
    </cfRule>
  </conditionalFormatting>
  <conditionalFormatting sqref="AE27:AE36">
    <cfRule type="cellIs" priority="10" operator="greaterThan" aboveAverage="0" equalAverage="0" bottom="0" percent="0" rank="0" text="" dxfId="0">
      <formula>0</formula>
    </cfRule>
    <cfRule type="cellIs" priority="11" operator="equal" aboveAverage="0" equalAverage="0" bottom="0" percent="0" rank="0" text="" dxfId="1">
      <formula>0</formula>
    </cfRule>
  </conditionalFormatting>
  <conditionalFormatting sqref="AH27:AH36">
    <cfRule type="cellIs" priority="12" operator="greaterThan" aboveAverage="0" equalAverage="0" bottom="0" percent="0" rank="0" text="" dxfId="0">
      <formula>0</formula>
    </cfRule>
    <cfRule type="cellIs" priority="13" operator="equal" aboveAverage="0" equalAverage="0" bottom="0" percent="0" rank="0" text="" dxfId="1">
      <formula>0</formula>
    </cfRule>
  </conditionalFormatting>
  <conditionalFormatting sqref="AK27:AK36">
    <cfRule type="cellIs" priority="14" operator="greaterThan" aboveAverage="0" equalAverage="0" bottom="0" percent="0" rank="0" text="" dxfId="0">
      <formula>0</formula>
    </cfRule>
    <cfRule type="cellIs" priority="15" operator="equal" aboveAverage="0" equalAverage="0" bottom="0" percent="0" rank="0" text="" dxfId="1">
      <formula>0</formula>
    </cfRule>
  </conditionalFormatting>
  <conditionalFormatting sqref="AN27:AN36">
    <cfRule type="cellIs" priority="16" operator="greaterThan" aboveAverage="0" equalAverage="0" bottom="0" percent="0" rank="0" text="" dxfId="0">
      <formula>0</formula>
    </cfRule>
    <cfRule type="cellIs" priority="17" operator="equal" aboveAverage="0" equalAverage="0" bottom="0" percent="0" rank="0" text="" dxfId="1">
      <formula>0</formula>
    </cfRule>
  </conditionalFormatting>
  <conditionalFormatting sqref="AQ27:AQ36">
    <cfRule type="cellIs" priority="18" operator="greaterThan" aboveAverage="0" equalAverage="0" bottom="0" percent="0" rank="0" text="" dxfId="0">
      <formula>0</formula>
    </cfRule>
    <cfRule type="cellIs" priority="19" operator="equal" aboveAverage="0" equalAverage="0" bottom="0" percent="0" rank="0" text="" dxfId="1">
      <formula>0</formula>
    </cfRule>
  </conditionalFormatting>
  <conditionalFormatting sqref="AT27:AT36">
    <cfRule type="cellIs" priority="20" operator="greaterThan" aboveAverage="0" equalAverage="0" bottom="0" percent="0" rank="0" text="" dxfId="0">
      <formula>0</formula>
    </cfRule>
    <cfRule type="cellIs" priority="21" operator="equal" aboveAverage="0" equalAverage="0" bottom="0" percent="0" rank="0" text="" dxfId="1">
      <formula>0</formula>
    </cfRule>
  </conditionalFormatting>
  <conditionalFormatting sqref="AW27:AW36">
    <cfRule type="cellIs" priority="22" operator="greaterThan" aboveAverage="0" equalAverage="0" bottom="0" percent="0" rank="0" text="" dxfId="0">
      <formula>0</formula>
    </cfRule>
    <cfRule type="cellIs" priority="23" operator="equal" aboveAverage="0" equalAverage="0" bottom="0" percent="0" rank="0" text="" dxfId="1">
      <formula>0</formula>
    </cfRule>
  </conditionalFormatting>
  <conditionalFormatting sqref="AZ27:AZ36">
    <cfRule type="cellIs" priority="24" operator="greaterThan" aboveAverage="0" equalAverage="0" bottom="0" percent="0" rank="0" text="" dxfId="0">
      <formula>0</formula>
    </cfRule>
    <cfRule type="cellIs" priority="25" operator="equal" aboveAverage="0" equalAverage="0" bottom="0" percent="0" rank="0" text="" dxfId="1">
      <formula>0</formula>
    </cfRule>
  </conditionalFormatting>
  <conditionalFormatting sqref="BC27:BC36">
    <cfRule type="cellIs" priority="26" operator="greaterThan" aboveAverage="0" equalAverage="0" bottom="0" percent="0" rank="0" text="" dxfId="0">
      <formula>0</formula>
    </cfRule>
    <cfRule type="cellIs" priority="27" operator="equal" aboveAverage="0" equalAverage="0" bottom="0" percent="0" rank="0" text="" dxfId="1">
      <formula>0</formula>
    </cfRule>
  </conditionalFormatting>
  <conditionalFormatting sqref="BF27:BF36">
    <cfRule type="cellIs" priority="28" operator="greaterThan" aboveAverage="0" equalAverage="0" bottom="0" percent="0" rank="0" text="" dxfId="0">
      <formula>0</formula>
    </cfRule>
    <cfRule type="cellIs" priority="29" operator="equal" aboveAverage="0" equalAverage="0" bottom="0" percent="0" rank="0" text="" dxfId="1">
      <formula>0</formula>
    </cfRule>
  </conditionalFormatting>
  <conditionalFormatting sqref="BI27:BJ36 BM27:BN36 BQ27:BR36 BU27:BW36 CA27:CB36">
    <cfRule type="cellIs" priority="30" operator="greaterThan" aboveAverage="0" equalAverage="0" bottom="0" percent="0" rank="0" text="" dxfId="0">
      <formula>0</formula>
    </cfRule>
    <cfRule type="cellIs" priority="31" operator="equal" aboveAverage="0" equalAverage="0" bottom="0" percent="0" rank="0" text="" dxfId="1">
      <formula>0</formula>
    </cfRule>
  </conditionalFormatting>
  <conditionalFormatting sqref="CE27:CE36">
    <cfRule type="cellIs" priority="32" operator="greaterThan" aboveAverage="0" equalAverage="0" bottom="0" percent="0" rank="0" text="" dxfId="0">
      <formula>0</formula>
    </cfRule>
    <cfRule type="cellIs" priority="33" operator="equal" aboveAverage="0" equalAverage="0" bottom="0" percent="0" rank="0" text="" dxfId="1">
      <formula>0</formula>
    </cfRule>
  </conditionalFormatting>
  <dataValidations count="2">
    <dataValidation allowBlank="true" errorStyle="stop" operator="equal" showDropDown="false" showErrorMessage="true" showInputMessage="true" sqref="AJ25" type="list">
      <formula1>$AH$5:$AH$6</formula1>
      <formula2>0</formula2>
    </dataValidation>
    <dataValidation allowBlank="true" errorStyle="stop" operator="equal" showDropDown="false" showErrorMessage="true" showInputMessage="true" sqref="AP25 AY25 BE25 BL25 BT25" type="list">
      <formula1>$AI$5:$AI$9</formula1>
      <formula2>0</formula2>
    </dataValidation>
  </dataValidations>
  <hyperlinks>
    <hyperlink ref="B43" r:id="rId1" display="If you spot a mistake or wish to suggest an improvement, please contact : contact@myengineeringtools.com"/>
    <hyperlink ref="B45" r:id="rId2" display="Copyright www.MyEngineeringTools.com"/>
  </hyperlinks>
  <printOptions headings="false" gridLines="false" gridLinesSet="true" horizontalCentered="false" verticalCentered="false"/>
  <pageMargins left="0.7875" right="0.7875" top="1.025" bottom="1.025" header="0.7875" footer="0.7875"/>
  <pageSetup paperSize="1" scale="100" fitToWidth="1" fitToHeight="1" pageOrder="downThenOver" orientation="portrait" blackAndWhite="false" draft="false" cellComments="none" firstPageNumber="1" useFirstPageNumber="true" horizontalDpi="300" verticalDpi="300" copies="1"/>
  <headerFooter differentFirst="false" differentOddEven="false">
    <oddHeader>&amp;C&amp;A</oddHeader>
    <oddFooter>&amp;CPage &amp;P</oddFooter>
  </headerFooter>
  <drawing r:id="rId3"/>
</worksheet>
</file>

<file path=docProps/app.xml><?xml version="1.0" encoding="utf-8"?>
<Properties xmlns="http://schemas.openxmlformats.org/officeDocument/2006/extended-properties" xmlns:vt="http://schemas.openxmlformats.org/officeDocument/2006/docPropsVTypes">
  <Template/>
  <TotalTime>47</TotalTime>
  <Application>LibreOffice/7.3.7.2$Windows_X86_64 LibreOffice_project/e114eadc50a9ff8d8c8a0567d6da8f454beeb84f</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2018-10-13T16:15:57Z</dcterms:created>
  <dc:creator/>
  <dc:description/>
  <dc:language>en-US</dc:language>
  <cp:lastModifiedBy/>
  <dcterms:modified xsi:type="dcterms:W3CDTF">2022-12-31T19:40:44Z</dcterms:modified>
  <cp:revision>12</cp:revision>
  <dc:subject/>
  <dc:title/>
</cp:coreProperties>
</file>

<file path=docProps/custom.xml><?xml version="1.0" encoding="utf-8"?>
<Properties xmlns="http://schemas.openxmlformats.org/officeDocument/2006/custom-properties" xmlns:vt="http://schemas.openxmlformats.org/officeDocument/2006/docPropsVTypes"/>
</file>