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Methode Zenz Othmer"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<sst xmlns="http://schemas.openxmlformats.org/spreadsheetml/2006/main" count="142" uniqueCount="94">
  <si>
    <t xml:space="preserve">FOR EDUCATIONAL PURPOSE ONLY – DO NOT USE THIS METHOD FOR DETAIL DESIGN – ALWAYS CONSULT A REPUTABLE SUPPLIER FOR DETAIL DESIGN</t>
  </si>
  <si>
    <t xml:space="preserve">This calculation method is only valid in DILUTE PHASE</t>
  </si>
  <si>
    <t xml:space="preserve">Layout</t>
  </si>
  <si>
    <t xml:space="preserve">Pressure drop calculation</t>
  </si>
  <si>
    <t xml:space="preserve">Inputs</t>
  </si>
  <si>
    <t xml:space="preserve">Length</t>
  </si>
  <si>
    <t xml:space="preserve">Inside diameter</t>
  </si>
  <si>
    <t xml:space="preserve">Section equivalent length</t>
  </si>
  <si>
    <t xml:space="preserve">Cumulative equivalent length</t>
  </si>
  <si>
    <t xml:space="preserve">Pressure drop components Psi</t>
  </si>
  <si>
    <t xml:space="preserve">Type of conveying</t>
  </si>
  <si>
    <t xml:space="preserve">Vacuum</t>
  </si>
  <si>
    <t xml:space="preserve">-</t>
  </si>
  <si>
    <t xml:space="preserve">Section number</t>
  </si>
  <si>
    <t xml:space="preserve">Pipe line component</t>
  </si>
  <si>
    <t xml:space="preserve">Orientation – Please only Horizontal, Vertical, Horizontal to Vertical, Vertical to Horizontal, Horizontal to Horizontal</t>
  </si>
  <si>
    <t xml:space="preserve">m</t>
  </si>
  <si>
    <t xml:space="preserve">ft</t>
  </si>
  <si>
    <t xml:space="preserve">in</t>
  </si>
  <si>
    <t xml:space="preserve">Flow of gas</t>
  </si>
  <si>
    <t xml:space="preserve">Solids acceleration</t>
  </si>
  <si>
    <t xml:space="preserve">Flow of solids</t>
  </si>
  <si>
    <t xml:space="preserve">Elevation of gas</t>
  </si>
  <si>
    <t xml:space="preserve">Elevation of solids</t>
  </si>
  <si>
    <t xml:space="preserve">Misc</t>
  </si>
  <si>
    <t xml:space="preserve">Total pressure drop in section</t>
  </si>
  <si>
    <t xml:space="preserve">Gas temperature inlet</t>
  </si>
  <si>
    <t xml:space="preserve">Gas temperature outlet</t>
  </si>
  <si>
    <t xml:space="preserve">Inlet gas density</t>
  </si>
  <si>
    <t xml:space="preserve">Outlet gas density</t>
  </si>
  <si>
    <t xml:space="preserve">Inlet pressure</t>
  </si>
  <si>
    <t xml:space="preserve">Outlet pressure</t>
  </si>
  <si>
    <t xml:space="preserve">Inlet gas velocity</t>
  </si>
  <si>
    <t xml:space="preserve">Outlet gas velocity</t>
  </si>
  <si>
    <t xml:space="preserve">Material to be conveyed</t>
  </si>
  <si>
    <t xml:space="preserve">Test</t>
  </si>
  <si>
    <t xml:space="preserve">Pipe</t>
  </si>
  <si>
    <t xml:space="preserve">Horizontal</t>
  </si>
  <si>
    <t xml:space="preserve">Solids conveying rate</t>
  </si>
  <si>
    <t xml:space="preserve">kg/h</t>
  </si>
  <si>
    <t xml:space="preserve">lb/h</t>
  </si>
  <si>
    <t xml:space="preserve">Pipeline material</t>
  </si>
  <si>
    <t xml:space="preserve">Stainless Steel</t>
  </si>
  <si>
    <t xml:space="preserve">Conveying line configuration</t>
  </si>
  <si>
    <t xml:space="preserve">See table</t>
  </si>
  <si>
    <t xml:space="preserve">Pipe inside diameter</t>
  </si>
  <si>
    <t xml:space="preserve">inch</t>
  </si>
  <si>
    <t xml:space="preserve">Gas used for conveying</t>
  </si>
  <si>
    <t xml:space="preserve">Air</t>
  </si>
  <si>
    <t xml:space="preserve">Molecular weight gas</t>
  </si>
  <si>
    <t xml:space="preserve">g/mol</t>
  </si>
  <si>
    <t xml:space="preserve">Gas inlet temperature</t>
  </si>
  <si>
    <t xml:space="preserve">°c</t>
  </si>
  <si>
    <t xml:space="preserve">Gas viscosity</t>
  </si>
  <si>
    <t xml:space="preserve">Pa.s</t>
  </si>
  <si>
    <t xml:space="preserve">lb/ft.s</t>
  </si>
  <si>
    <t xml:space="preserve">90 bend</t>
  </si>
  <si>
    <t xml:space="preserve">Horizontal to Vertical</t>
  </si>
  <si>
    <t xml:space="preserve">Vertical</t>
  </si>
  <si>
    <t xml:space="preserve">kg/m3</t>
  </si>
  <si>
    <t xml:space="preserve">lb/ft3</t>
  </si>
  <si>
    <t xml:space="preserve">Blower</t>
  </si>
  <si>
    <t xml:space="preserve">Nm3/h</t>
  </si>
  <si>
    <t xml:space="preserve">Vertical to horizontal</t>
  </si>
  <si>
    <t xml:space="preserve">Gas flowrate at inlet</t>
  </si>
  <si>
    <t xml:space="preserve">m3/h</t>
  </si>
  <si>
    <t xml:space="preserve">m/s</t>
  </si>
  <si>
    <t xml:space="preserve">Gas inlet velocity</t>
  </si>
  <si>
    <t xml:space="preserve">ft/s</t>
  </si>
  <si>
    <t xml:space="preserve">Solids velocity</t>
  </si>
  <si>
    <t xml:space="preserve">Horizontal to Horizontal</t>
  </si>
  <si>
    <t xml:space="preserve">Gas mass flowrate</t>
  </si>
  <si>
    <t xml:space="preserve">Solids Loading Ratio</t>
  </si>
  <si>
    <t xml:space="preserve">Assumed equal to inlet</t>
  </si>
  <si>
    <t xml:space="preserve">Solids friction factor</t>
  </si>
  <si>
    <t xml:space="preserve">Template limited to 20 pipe sections, please extend if necessary</t>
  </si>
  <si>
    <t xml:space="preserve">Note : refer to powderprocess.net website for equivalent length of pipes and fittings</t>
  </si>
  <si>
    <t xml:space="preserve">Pipe line roughness</t>
  </si>
  <si>
    <t xml:space="preserve">mm</t>
  </si>
  <si>
    <t xml:space="preserve">epsilon / D</t>
  </si>
  <si>
    <t xml:space="preserve">Reynolds</t>
  </si>
  <si>
    <r>
      <rPr>
        <b val="true"/>
        <sz val="11"/>
        <color rgb="FF000000"/>
        <rFont val="Calibri"/>
        <family val="2"/>
        <charset val="1"/>
      </rPr>
      <t xml:space="preserve">Fanning </t>
    </r>
    <r>
      <rPr>
        <sz val="11"/>
        <color rgb="FF000000"/>
        <rFont val="Calibri"/>
        <family val="2"/>
        <charset val="1"/>
      </rPr>
      <t xml:space="preserve">friction factor</t>
    </r>
  </si>
  <si>
    <t xml:space="preserve">1/f^0.5</t>
  </si>
  <si>
    <t xml:space="preserve">Colebrook (Moody) friction factor</t>
  </si>
  <si>
    <t xml:space="preserve">Actual fanning friction factor</t>
  </si>
  <si>
    <t xml:space="preserve">Guess-Actual</t>
  </si>
  <si>
    <t xml:space="preserve">Use Goal Seek to bring to 0</t>
  </si>
  <si>
    <t xml:space="preserve">Solids slip factor</t>
  </si>
  <si>
    <t xml:space="preserve">Pressure drop calculated</t>
  </si>
  <si>
    <t xml:space="preserve">Psi</t>
  </si>
  <si>
    <t xml:space="preserve">bar</t>
  </si>
  <si>
    <t xml:space="preserve">If you spot a mistake or wish to suggest an improvement, please contact admin@powderprocess.net</t>
  </si>
  <si>
    <t xml:space="preserve">Copyright www.PowderProcess.net</t>
  </si>
  <si>
    <t xml:space="preserve">The content of PowderProcess.net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</si>
</sst>
</file>

<file path=xl/styles.xml><?xml version="1.0" encoding="utf-8"?>
<styleSheet xmlns="http://schemas.openxmlformats.org/spreadsheetml/2006/main">
  <numFmts count="8">
    <numFmt numFmtId="164" formatCode="General"/>
    <numFmt numFmtId="165" formatCode="General"/>
    <numFmt numFmtId="166" formatCode="0.00"/>
    <numFmt numFmtId="167" formatCode="0.000"/>
    <numFmt numFmtId="168" formatCode="0"/>
    <numFmt numFmtId="169" formatCode="0.0"/>
    <numFmt numFmtId="170" formatCode="0.00E+00"/>
    <numFmt numFmtId="171" formatCode="0.00000"/>
  </numFmts>
  <fonts count="18">
    <font>
      <sz val="10"/>
      <name val="Arial"/>
      <family val="2"/>
      <charset val="1"/>
    </font>
    <font>
      <sz val="10"/>
      <name val="Arial"/>
      <family val="0"/>
      <charset val="134"/>
    </font>
    <font>
      <sz val="10"/>
      <name val="Arial"/>
      <family val="0"/>
      <charset val="134"/>
    </font>
    <font>
      <sz val="10"/>
      <name val="Arial"/>
      <family val="0"/>
      <charset val="134"/>
    </font>
    <font>
      <b val="true"/>
      <sz val="12"/>
      <color rgb="FFCE181E"/>
      <name val="Arial"/>
      <family val="2"/>
      <charset val="1"/>
    </font>
    <font>
      <b val="true"/>
      <sz val="11"/>
      <color rgb="FF000000"/>
      <name val="Calibri"/>
      <family val="2"/>
      <charset val="1"/>
    </font>
    <font>
      <b val="true"/>
      <sz val="11"/>
      <color rgb="FF21409A"/>
      <name val="Calibri"/>
      <family val="2"/>
      <charset val="1"/>
    </font>
    <font>
      <b val="true"/>
      <sz val="10"/>
      <color rgb="FF21409A"/>
      <name val="Arial"/>
      <family val="2"/>
      <charset val="1"/>
    </font>
    <font>
      <b val="true"/>
      <sz val="10"/>
      <color rgb="FFED1C24"/>
      <name val="Arial"/>
      <family val="2"/>
      <charset val="1"/>
    </font>
    <font>
      <b val="true"/>
      <sz val="11"/>
      <color rgb="FFED1C24"/>
      <name val="Calibri"/>
      <family val="2"/>
      <charset val="1"/>
    </font>
    <font>
      <sz val="11"/>
      <color rgb="FF000000"/>
      <name val="Calibri"/>
      <family val="2"/>
      <charset val="1"/>
    </font>
    <font>
      <b val="true"/>
      <sz val="11"/>
      <color rgb="FF1F497D"/>
      <name val="Calibri"/>
      <family val="2"/>
      <charset val="1"/>
    </font>
    <font>
      <b val="true"/>
      <sz val="11"/>
      <color rgb="FFFF0000"/>
      <name val="Calibri"/>
      <family val="2"/>
      <charset val="1"/>
    </font>
    <font>
      <sz val="8"/>
      <name val="Arial"/>
      <family val="2"/>
      <charset val="1"/>
    </font>
    <font>
      <sz val="10"/>
      <color rgb="FF0000FF"/>
      <name val="Arial"/>
      <family val="2"/>
      <charset val="1"/>
    </font>
    <font>
      <sz val="10"/>
      <name val="Times New Roman"/>
      <family val="1"/>
      <charset val="1"/>
    </font>
    <font>
      <i val="true"/>
      <sz val="7"/>
      <name val="Times New Roman"/>
      <family val="1"/>
      <charset val="1"/>
    </font>
    <font>
      <sz val="12"/>
      <color rgb="FFCE181E"/>
      <name val="Times New Roman"/>
      <family val="0"/>
      <charset val="134"/>
    </font>
  </fonts>
  <fills count="7">
    <fill>
      <patternFill patternType="none"/>
    </fill>
    <fill>
      <patternFill patternType="gray125"/>
    </fill>
    <fill>
      <patternFill patternType="solid">
        <fgColor rgb="FFF10D0C"/>
        <bgColor rgb="FFFF0000"/>
      </patternFill>
    </fill>
    <fill>
      <patternFill patternType="solid">
        <fgColor rgb="FF8F93C7"/>
        <bgColor rgb="FF9999FF"/>
      </patternFill>
    </fill>
    <fill>
      <patternFill patternType="solid">
        <fgColor rgb="FFADD58A"/>
        <bgColor rgb="FF99CCFF"/>
      </patternFill>
    </fill>
    <fill>
      <patternFill patternType="solid">
        <fgColor rgb="FFFCC79B"/>
        <bgColor rgb="FFFF99CC"/>
      </patternFill>
    </fill>
    <fill>
      <patternFill patternType="solid">
        <fgColor rgb="FFFFFF00"/>
        <bgColor rgb="FFFFFF00"/>
      </patternFill>
    </fill>
  </fills>
  <borders count="14">
    <border diagonalUp="false" diagonalDown="false">
      <left/>
      <right/>
      <top/>
      <bottom/>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true" applyProtection="false">
      <alignment horizontal="center" vertical="center" textRotation="0" wrapText="false" indent="0" shrinkToFit="false"/>
      <protection locked="true" hidden="false"/>
    </xf>
    <xf numFmtId="164" fontId="0" fillId="0" borderId="2" xfId="0" applyFont="false" applyBorder="true" applyAlignment="true" applyProtection="false">
      <alignment horizontal="general" vertical="bottom" textRotation="0" wrapText="true" indent="0" shrinkToFit="false"/>
      <protection locked="true" hidden="false"/>
    </xf>
    <xf numFmtId="164" fontId="0" fillId="0" borderId="3" xfId="0" applyFont="false" applyBorder="true" applyAlignment="true" applyProtection="false">
      <alignment horizontal="general" vertical="bottom" textRotation="0" wrapText="true" indent="0" shrinkToFit="false"/>
      <protection locked="true" hidden="false"/>
    </xf>
    <xf numFmtId="164" fontId="0" fillId="0" borderId="4" xfId="0" applyFont="true" applyBorder="tru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5" xfId="0" applyFont="false" applyBorder="true" applyAlignment="true" applyProtection="false">
      <alignment horizontal="general" vertical="bottom" textRotation="0" wrapText="true" indent="0" shrinkToFit="false"/>
      <protection locked="true" hidden="false"/>
    </xf>
    <xf numFmtId="164" fontId="0" fillId="0" borderId="6" xfId="0" applyFont="true" applyBorder="true" applyAlignment="true" applyProtection="false">
      <alignment horizontal="center" vertical="bottom" textRotation="0" wrapText="true" indent="0" shrinkToFit="false"/>
      <protection locked="true" hidden="false"/>
    </xf>
    <xf numFmtId="164" fontId="0" fillId="0" borderId="6" xfId="0" applyFont="false" applyBorder="true" applyAlignment="true" applyProtection="false">
      <alignment horizontal="general" vertical="bottom" textRotation="0" wrapText="tru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0" fillId="0" borderId="5" xfId="0" applyFont="true" applyBorder="true" applyAlignment="false" applyProtection="false">
      <alignment horizontal="general" vertical="bottom"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6" fillId="4" borderId="6" xfId="0" applyFont="true" applyBorder="true" applyAlignment="false" applyProtection="true">
      <alignment horizontal="general" vertical="bottom" textRotation="0" wrapText="false" indent="0" shrinkToFit="false"/>
      <protection locked="false" hidden="false"/>
    </xf>
    <xf numFmtId="164" fontId="0" fillId="0" borderId="7" xfId="0" applyFont="true" applyBorder="true" applyAlignment="true" applyProtection="false">
      <alignment horizontal="general" vertical="bottom" textRotation="0" wrapText="true" indent="0" shrinkToFit="false"/>
      <protection locked="true" hidden="false"/>
    </xf>
    <xf numFmtId="164" fontId="0" fillId="0" borderId="8"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true" applyAlignment="true" applyProtection="false">
      <alignment horizontal="general" vertical="bottom" textRotation="0" wrapText="true" indent="0" shrinkToFit="false"/>
      <protection locked="true" hidden="false"/>
    </xf>
    <xf numFmtId="164" fontId="0" fillId="0" borderId="9" xfId="0" applyFont="true" applyBorder="true" applyAlignment="false" applyProtection="false">
      <alignment horizontal="general" vertical="bottom" textRotation="0" wrapText="false" indent="0" shrinkToFit="false"/>
      <protection locked="true" hidden="false"/>
    </xf>
    <xf numFmtId="164" fontId="0" fillId="0" borderId="8"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 fillId="4" borderId="0" xfId="0" applyFont="true" applyBorder="true" applyAlignment="false" applyProtection="true">
      <alignment horizontal="general" vertical="bottom" textRotation="0" wrapText="false" indent="0" shrinkToFit="false"/>
      <protection locked="false" hidden="false"/>
    </xf>
    <xf numFmtId="164" fontId="7" fillId="4" borderId="0" xfId="0" applyFont="true" applyBorder="true" applyAlignment="false" applyProtection="true">
      <alignment horizontal="general" vertical="bottom" textRotation="0" wrapText="false" indent="0" shrinkToFit="false"/>
      <protection locked="false" hidden="false"/>
    </xf>
    <xf numFmtId="165" fontId="8" fillId="5" borderId="0" xfId="0" applyFont="true" applyBorder="true" applyAlignment="false" applyProtection="false">
      <alignment horizontal="general" vertical="bottom" textRotation="0" wrapText="false" indent="0" shrinkToFit="false"/>
      <protection locked="true" hidden="false"/>
    </xf>
    <xf numFmtId="166" fontId="8" fillId="5" borderId="0" xfId="0" applyFont="true" applyBorder="true" applyAlignment="false" applyProtection="false">
      <alignment horizontal="general" vertical="bottom" textRotation="0" wrapText="false" indent="0" shrinkToFit="false"/>
      <protection locked="true" hidden="false"/>
    </xf>
    <xf numFmtId="164" fontId="8" fillId="5" borderId="9" xfId="0" applyFont="true" applyBorder="true" applyAlignment="false" applyProtection="false">
      <alignment horizontal="general" vertical="bottom" textRotation="0" wrapText="false" indent="0" shrinkToFit="false"/>
      <protection locked="true" hidden="false"/>
    </xf>
    <xf numFmtId="167" fontId="8" fillId="5" borderId="0" xfId="0" applyFont="true" applyBorder="true" applyAlignment="false" applyProtection="false">
      <alignment horizontal="general" vertical="bottom" textRotation="0" wrapText="false" indent="0" shrinkToFit="false"/>
      <protection locked="true" hidden="false"/>
    </xf>
    <xf numFmtId="166" fontId="8" fillId="5" borderId="9" xfId="0" applyFont="true" applyBorder="true" applyAlignment="false" applyProtection="false">
      <alignment horizontal="general" vertical="bottom" textRotation="0" wrapText="false" indent="0" shrinkToFit="false"/>
      <protection locked="true" hidden="false"/>
    </xf>
    <xf numFmtId="168" fontId="9" fillId="5" borderId="0" xfId="0" applyFont="true" applyBorder="true" applyAlignment="false" applyProtection="false">
      <alignment horizontal="general" vertical="bottom" textRotation="0" wrapText="false" indent="0" shrinkToFit="false"/>
      <protection locked="true" hidden="false"/>
    </xf>
    <xf numFmtId="169" fontId="9" fillId="5" borderId="0" xfId="0" applyFont="true" applyBorder="true" applyAlignment="false" applyProtection="false">
      <alignment horizontal="general" vertical="bottom" textRotation="0" wrapText="false" indent="0" shrinkToFit="false"/>
      <protection locked="true" hidden="false"/>
    </xf>
    <xf numFmtId="164" fontId="10" fillId="0" borderId="9" xfId="0" applyFont="true" applyBorder="true" applyAlignment="false" applyProtection="false">
      <alignment horizontal="general" vertical="bottom" textRotation="0" wrapText="false" indent="0" shrinkToFit="false"/>
      <protection locked="true" hidden="false"/>
    </xf>
    <xf numFmtId="170" fontId="6" fillId="4" borderId="0" xfId="0" applyFont="true" applyBorder="true" applyAlignment="false" applyProtection="true">
      <alignment horizontal="general" vertical="bottom" textRotation="0" wrapText="false" indent="0" shrinkToFit="false"/>
      <protection locked="false" hidden="false"/>
    </xf>
    <xf numFmtId="164" fontId="10" fillId="0" borderId="0" xfId="0" applyFont="true" applyBorder="true" applyAlignment="false" applyProtection="false">
      <alignment horizontal="general" vertical="bottom" textRotation="0" wrapText="false" indent="0" shrinkToFit="false"/>
      <protection locked="true" hidden="false"/>
    </xf>
    <xf numFmtId="170" fontId="9" fillId="5" borderId="0"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5" fontId="9" fillId="5" borderId="0" xfId="0" applyFont="true" applyBorder="true" applyAlignment="false" applyProtection="false">
      <alignment horizontal="general" vertical="bottom" textRotation="0" wrapText="false" indent="0" shrinkToFit="false"/>
      <protection locked="true" hidden="false"/>
    </xf>
    <xf numFmtId="164" fontId="12" fillId="0" borderId="0" xfId="0" applyFont="true" applyBorder="true" applyAlignment="false" applyProtection="false">
      <alignment horizontal="general" vertical="bottom" textRotation="0" wrapText="false" indent="0" shrinkToFit="false"/>
      <protection locked="true" hidden="false"/>
    </xf>
    <xf numFmtId="164" fontId="0" fillId="0" borderId="10" xfId="0" applyFont="false" applyBorder="true" applyAlignment="false" applyProtection="false">
      <alignment horizontal="general" vertical="bottom" textRotation="0" wrapText="false" indent="0" shrinkToFit="false"/>
      <protection locked="true" hidden="false"/>
    </xf>
    <xf numFmtId="164" fontId="7" fillId="4" borderId="11" xfId="0" applyFont="true" applyBorder="true" applyAlignment="false" applyProtection="true">
      <alignment horizontal="general" vertical="bottom" textRotation="0" wrapText="false" indent="0" shrinkToFit="false"/>
      <protection locked="false" hidden="false"/>
    </xf>
    <xf numFmtId="165" fontId="8" fillId="5" borderId="11" xfId="0" applyFont="true" applyBorder="true" applyAlignment="false" applyProtection="false">
      <alignment horizontal="general" vertical="bottom" textRotation="0" wrapText="false" indent="0" shrinkToFit="false"/>
      <protection locked="true" hidden="false"/>
    </xf>
    <xf numFmtId="166" fontId="8" fillId="5" borderId="11" xfId="0" applyFont="true" applyBorder="true" applyAlignment="false" applyProtection="false">
      <alignment horizontal="general" vertical="bottom" textRotation="0" wrapText="false" indent="0" shrinkToFit="false"/>
      <protection locked="true" hidden="false"/>
    </xf>
    <xf numFmtId="165" fontId="8" fillId="5" borderId="12" xfId="0" applyFont="true" applyBorder="true" applyAlignment="false" applyProtection="false">
      <alignment horizontal="general" vertical="bottom" textRotation="0" wrapText="false" indent="0" shrinkToFit="false"/>
      <protection locked="true" hidden="false"/>
    </xf>
    <xf numFmtId="167" fontId="8" fillId="5" borderId="11" xfId="0" applyFont="true" applyBorder="true" applyAlignment="false" applyProtection="false">
      <alignment horizontal="general" vertical="bottom" textRotation="0" wrapText="false" indent="0" shrinkToFit="false"/>
      <protection locked="true" hidden="false"/>
    </xf>
    <xf numFmtId="166" fontId="8" fillId="5" borderId="12" xfId="0" applyFont="true" applyBorder="true" applyAlignment="false" applyProtection="false">
      <alignment horizontal="general" vertical="bottom" textRotation="0" wrapText="false" indent="0" shrinkToFit="false"/>
      <protection locked="true" hidden="false"/>
    </xf>
    <xf numFmtId="165" fontId="8" fillId="5" borderId="13" xfId="0" applyFont="true" applyBorder="true" applyAlignment="false" applyProtection="false">
      <alignment horizontal="general" vertical="bottom" textRotation="0" wrapText="false" indent="0" shrinkToFit="false"/>
      <protection locked="true" hidden="false"/>
    </xf>
    <xf numFmtId="164" fontId="13" fillId="0"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8" xfId="0" applyFont="true" applyBorder="true" applyAlignment="false" applyProtection="false">
      <alignment horizontal="general" vertical="bottom" textRotation="0" wrapText="false" indent="0" shrinkToFit="false"/>
      <protection locked="true" hidden="false"/>
    </xf>
    <xf numFmtId="171" fontId="6" fillId="4" borderId="0" xfId="0" applyFont="true" applyBorder="true" applyAlignment="false" applyProtection="true">
      <alignment horizontal="general" vertical="bottom" textRotation="0" wrapText="false" indent="0" shrinkToFit="false"/>
      <protection locked="false" hidden="false"/>
    </xf>
    <xf numFmtId="171" fontId="9" fillId="5" borderId="0" xfId="0" applyFont="tru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9" fontId="6" fillId="4" borderId="11" xfId="0" applyFont="true" applyBorder="true" applyAlignment="false" applyProtection="true">
      <alignment horizontal="general" vertical="bottom" textRotation="0" wrapText="false" indent="0" shrinkToFit="false"/>
      <protection locked="fals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64" fontId="0" fillId="6" borderId="2" xfId="0" applyFont="true" applyBorder="true" applyAlignment="false" applyProtection="false">
      <alignment horizontal="general" vertical="bottom" textRotation="0" wrapText="false" indent="0" shrinkToFit="false"/>
      <protection locked="true" hidden="false"/>
    </xf>
    <xf numFmtId="166" fontId="0" fillId="6" borderId="3" xfId="0" applyFont="false" applyBorder="true" applyAlignment="false" applyProtection="false">
      <alignment horizontal="general" vertical="bottom" textRotation="0" wrapText="false" indent="0" shrinkToFit="false"/>
      <protection locked="true" hidden="false"/>
    </xf>
    <xf numFmtId="164" fontId="0" fillId="6" borderId="3" xfId="0" applyFont="true" applyBorder="true" applyAlignment="false" applyProtection="false">
      <alignment horizontal="general" vertical="bottom" textRotation="0" wrapText="false" indent="0" shrinkToFit="false"/>
      <protection locked="true" hidden="false"/>
    </xf>
    <xf numFmtId="164" fontId="0" fillId="6" borderId="4" xfId="0" applyFont="true" applyBorder="true" applyAlignment="false" applyProtection="false">
      <alignment horizontal="general"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general" vertical="bottom" textRotation="0" wrapText="true" indent="0" shrinkToFit="false"/>
      <protection locked="true" hidden="false"/>
    </xf>
    <xf numFmtId="164" fontId="16" fillId="0"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F10D0C"/>
      <rgbColor rgb="FF008000"/>
      <rgbColor rgb="FF000080"/>
      <rgbColor rgb="FF808000"/>
      <rgbColor rgb="FF800080"/>
      <rgbColor rgb="FF008080"/>
      <rgbColor rgb="FFADD58A"/>
      <rgbColor rgb="FF808080"/>
      <rgbColor rgb="FF9999FF"/>
      <rgbColor rgb="FFED1C24"/>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C79B"/>
      <rgbColor rgb="FF3366FF"/>
      <rgbColor rgb="FF33CCCC"/>
      <rgbColor rgb="FF99CC00"/>
      <rgbColor rgb="FFFFCC00"/>
      <rgbColor rgb="FFFF9900"/>
      <rgbColor rgb="FFFF6600"/>
      <rgbColor rgb="FF666699"/>
      <rgbColor rgb="FF8F93C7"/>
      <rgbColor rgb="FF1F497D"/>
      <rgbColor rgb="FF339966"/>
      <rgbColor rgb="FF003300"/>
      <rgbColor rgb="FF333300"/>
      <rgbColor rgb="FFCE181E"/>
      <rgbColor rgb="FF993366"/>
      <rgbColor rgb="FF21409A"/>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1822680</xdr:colOff>
      <xdr:row>36</xdr:row>
      <xdr:rowOff>95040</xdr:rowOff>
    </xdr:from>
    <xdr:to>
      <xdr:col>2</xdr:col>
      <xdr:colOff>884880</xdr:colOff>
      <xdr:row>40</xdr:row>
      <xdr:rowOff>104040</xdr:rowOff>
    </xdr:to>
    <xdr:sp>
      <xdr:nvSpPr>
        <xdr:cNvPr id="0" name="CustomShape 1"/>
        <xdr:cNvSpPr/>
      </xdr:nvSpPr>
      <xdr:spPr>
        <a:xfrm>
          <a:off x="2433960" y="7142040"/>
          <a:ext cx="2328840" cy="672120"/>
        </a:xfrm>
        <a:prstGeom prst="rect">
          <a:avLst/>
        </a:prstGeom>
        <a:noFill/>
        <a:ln w="0">
          <a:noFill/>
        </a:ln>
      </xdr:spPr>
      <xdr:style>
        <a:lnRef idx="0"/>
        <a:fillRef idx="0"/>
        <a:effectRef idx="0"/>
        <a:fontRef idx="minor"/>
      </xdr:style>
      <xdr:txBody>
        <a:bodyPr lIns="0" rIns="0" tIns="0" bIns="0">
          <a:noAutofit/>
        </a:bodyPr>
        <a:p>
          <a:pPr>
            <a:lnSpc>
              <a:spcPct val="100000"/>
            </a:lnSpc>
          </a:pPr>
          <a:r>
            <a:rPr b="0" lang="en-US" sz="1200" spc="-1" strike="noStrike">
              <a:solidFill>
                <a:srgbClr val="ce181e"/>
              </a:solidFill>
              <a:latin typeface="Times New Roman"/>
            </a:rPr>
            <a:t>Approximate method, DO NOT USE FOR DETAIL DESIGN. ALWAYS CONSULT A REPUTABLE COMPANY</a:t>
          </a:r>
          <a:endParaRPr b="0" lang="en-SG" sz="12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admin@powderprocess.net"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J53"/>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A48" activeCellId="0" sqref="48:48"/>
    </sheetView>
  </sheetViews>
  <sheetFormatPr defaultColWidth="8.6796875" defaultRowHeight="12.8" zeroHeight="false" outlineLevelRow="0" outlineLevelCol="0"/>
  <cols>
    <col collapsed="false" customWidth="true" hidden="false" outlineLevel="0" max="2" min="2" style="0" width="46.29"/>
    <col collapsed="false" customWidth="true" hidden="false" outlineLevel="0" max="3" min="3" style="0" width="15.71"/>
    <col collapsed="false" customWidth="true" hidden="false" outlineLevel="0" max="5" min="5" style="0" width="13.43"/>
    <col collapsed="false" customWidth="true" hidden="false" outlineLevel="0" max="9" min="9" style="0" width="9.42"/>
    <col collapsed="false" customWidth="true" hidden="false" outlineLevel="0" max="10" min="10" style="0" width="11.99"/>
    <col collapsed="false" customWidth="true" hidden="false" outlineLevel="0" max="11" min="11" style="0" width="22.86"/>
    <col collapsed="false" customWidth="true" hidden="false" outlineLevel="0" max="14" min="14" style="0" width="16.57"/>
    <col collapsed="false" customWidth="true" hidden="false" outlineLevel="0" max="15" min="15" style="0" width="16.41"/>
    <col collapsed="false" customWidth="true" hidden="false" outlineLevel="0" max="16" min="16" style="0" width="26.59"/>
    <col collapsed="false" customWidth="true" hidden="false" outlineLevel="0" max="17" min="17" style="0" width="18.42"/>
  </cols>
  <sheetData>
    <row r="1" s="2" customFormat="true" ht="12.8" hidden="false" customHeight="false" outlineLevel="0" collapsed="false">
      <c r="A1" s="1" t="s">
        <v>0</v>
      </c>
    </row>
    <row r="3" customFormat="false" ht="15" hidden="false" customHeight="false" outlineLevel="0" collapsed="false">
      <c r="B3" s="3" t="s">
        <v>1</v>
      </c>
      <c r="C3" s="3"/>
      <c r="D3" s="3"/>
      <c r="E3" s="3"/>
      <c r="F3" s="3"/>
      <c r="I3" s="4" t="s">
        <v>2</v>
      </c>
      <c r="J3" s="4"/>
      <c r="K3" s="4"/>
      <c r="L3" s="4"/>
      <c r="M3" s="4"/>
      <c r="N3" s="4"/>
      <c r="O3" s="4"/>
      <c r="P3" s="4"/>
      <c r="Q3" s="4"/>
      <c r="S3" s="4" t="s">
        <v>3</v>
      </c>
      <c r="T3" s="4"/>
      <c r="U3" s="4"/>
      <c r="V3" s="4"/>
      <c r="W3" s="4"/>
      <c r="X3" s="4"/>
      <c r="Y3" s="4"/>
      <c r="Z3" s="4"/>
      <c r="AA3" s="4"/>
      <c r="AB3" s="4"/>
      <c r="AC3" s="4"/>
      <c r="AD3" s="4"/>
      <c r="AE3" s="4"/>
      <c r="AF3" s="4"/>
      <c r="AG3" s="4"/>
      <c r="AH3" s="4"/>
    </row>
    <row r="4" customFormat="false" ht="30.75" hidden="false" customHeight="true" outlineLevel="0" collapsed="false">
      <c r="B4" s="5" t="s">
        <v>4</v>
      </c>
      <c r="C4" s="5"/>
      <c r="D4" s="5"/>
      <c r="E4" s="5"/>
      <c r="F4" s="5"/>
      <c r="I4" s="6"/>
      <c r="J4" s="7"/>
      <c r="K4" s="7"/>
      <c r="L4" s="7" t="s">
        <v>5</v>
      </c>
      <c r="M4" s="7" t="s">
        <v>5</v>
      </c>
      <c r="N4" s="7" t="s">
        <v>6</v>
      </c>
      <c r="O4" s="7" t="s">
        <v>6</v>
      </c>
      <c r="P4" s="7" t="s">
        <v>7</v>
      </c>
      <c r="Q4" s="8" t="s">
        <v>8</v>
      </c>
      <c r="R4" s="9"/>
      <c r="S4" s="10"/>
      <c r="T4" s="11" t="s">
        <v>9</v>
      </c>
      <c r="U4" s="11"/>
      <c r="V4" s="11"/>
      <c r="W4" s="11"/>
      <c r="X4" s="11"/>
      <c r="Y4" s="11"/>
      <c r="Z4" s="12"/>
      <c r="AA4" s="12"/>
      <c r="AB4" s="12"/>
      <c r="AC4" s="12"/>
      <c r="AD4" s="12"/>
      <c r="AE4" s="12"/>
      <c r="AF4" s="12"/>
      <c r="AG4" s="12"/>
      <c r="AH4" s="13"/>
    </row>
    <row r="5" customFormat="false" ht="56.75" hidden="false" customHeight="false" outlineLevel="0" collapsed="false">
      <c r="B5" s="14" t="s">
        <v>10</v>
      </c>
      <c r="C5" s="15"/>
      <c r="D5" s="15"/>
      <c r="E5" s="16" t="s">
        <v>11</v>
      </c>
      <c r="F5" s="13" t="s">
        <v>12</v>
      </c>
      <c r="I5" s="10" t="s">
        <v>13</v>
      </c>
      <c r="J5" s="12" t="s">
        <v>14</v>
      </c>
      <c r="K5" s="12" t="s">
        <v>15</v>
      </c>
      <c r="L5" s="12" t="s">
        <v>16</v>
      </c>
      <c r="M5" s="12" t="s">
        <v>17</v>
      </c>
      <c r="N5" s="12" t="s">
        <v>16</v>
      </c>
      <c r="O5" s="12" t="s">
        <v>18</v>
      </c>
      <c r="P5" s="12" t="s">
        <v>17</v>
      </c>
      <c r="Q5" s="17" t="s">
        <v>17</v>
      </c>
      <c r="R5" s="9"/>
      <c r="S5" s="18" t="s">
        <v>13</v>
      </c>
      <c r="T5" s="19" t="s">
        <v>19</v>
      </c>
      <c r="U5" s="19" t="s">
        <v>20</v>
      </c>
      <c r="V5" s="19" t="s">
        <v>21</v>
      </c>
      <c r="W5" s="19" t="s">
        <v>22</v>
      </c>
      <c r="X5" s="19" t="s">
        <v>23</v>
      </c>
      <c r="Y5" s="19" t="s">
        <v>24</v>
      </c>
      <c r="Z5" s="19" t="s">
        <v>25</v>
      </c>
      <c r="AA5" s="19" t="s">
        <v>26</v>
      </c>
      <c r="AB5" s="19" t="s">
        <v>27</v>
      </c>
      <c r="AC5" s="19" t="s">
        <v>28</v>
      </c>
      <c r="AD5" s="19" t="s">
        <v>29</v>
      </c>
      <c r="AE5" s="19" t="s">
        <v>30</v>
      </c>
      <c r="AF5" s="19" t="s">
        <v>31</v>
      </c>
      <c r="AG5" s="19" t="s">
        <v>32</v>
      </c>
      <c r="AH5" s="20" t="s">
        <v>33</v>
      </c>
    </row>
    <row r="6" customFormat="false" ht="13.8" hidden="false" customHeight="false" outlineLevel="0" collapsed="false">
      <c r="B6" s="21" t="s">
        <v>34</v>
      </c>
      <c r="C6" s="22"/>
      <c r="D6" s="22"/>
      <c r="E6" s="23" t="s">
        <v>35</v>
      </c>
      <c r="F6" s="20" t="s">
        <v>12</v>
      </c>
      <c r="I6" s="21" t="n">
        <v>1</v>
      </c>
      <c r="J6" s="24" t="s">
        <v>36</v>
      </c>
      <c r="K6" s="24" t="s">
        <v>37</v>
      </c>
      <c r="L6" s="24" t="n">
        <v>3.05</v>
      </c>
      <c r="M6" s="25" t="n">
        <f aca="false">L6*3.28</f>
        <v>10.004</v>
      </c>
      <c r="N6" s="24" t="n">
        <v>0.102</v>
      </c>
      <c r="O6" s="26" t="n">
        <f aca="false">N6*1000/25.4</f>
        <v>4.01574803149606</v>
      </c>
      <c r="P6" s="24" t="n">
        <v>10</v>
      </c>
      <c r="Q6" s="27" t="n">
        <v>10</v>
      </c>
      <c r="S6" s="21" t="n">
        <v>1</v>
      </c>
      <c r="T6" s="28" t="n">
        <f aca="false">4*$E$32*P6*AC6*AG6^2/(9266*O6/12)</f>
        <v>0.0238156689621144</v>
      </c>
      <c r="U6" s="28" t="n">
        <f aca="false">(($E$7/3600/(PI()*(O6/12)^2/4))*AG6*$E$38/4640)</f>
        <v>0.353467855666208</v>
      </c>
      <c r="V6" s="28" t="n">
        <f aca="false">T6*$E$27*$E$26</f>
        <v>0.189384608753275</v>
      </c>
      <c r="W6" s="28" t="n">
        <f aca="false">IF(K6="Vertical",M6*AC6*32.2/(144*32.174),0)</f>
        <v>0</v>
      </c>
      <c r="X6" s="28" t="n">
        <f aca="false">IF(K6="Vertical",M6*$E$7/3600/(PI()*(O6/12)^2/4)*32.2/(144*32.174*AG6*$E$38),0)</f>
        <v>0</v>
      </c>
      <c r="Y6" s="24"/>
      <c r="Z6" s="25" t="n">
        <f aca="false">SUM(T6:Y6)</f>
        <v>0.566668133381598</v>
      </c>
      <c r="AA6" s="25" t="n">
        <f aca="false">E13</f>
        <v>25</v>
      </c>
      <c r="AB6" s="25" t="n">
        <f aca="false">AA6</f>
        <v>25</v>
      </c>
      <c r="AC6" s="28" t="n">
        <f aca="false">E16</f>
        <v>0.0740029315273773</v>
      </c>
      <c r="AD6" s="28" t="n">
        <f aca="false">(29*AF6)/(19.32*(AB6+273.15))</f>
        <v>0.0711542129071187</v>
      </c>
      <c r="AE6" s="28" t="n">
        <f aca="false">IF(E5="Vacuum",14.7,14.7+14.7*E15/1000)</f>
        <v>14.7</v>
      </c>
      <c r="AF6" s="28" t="n">
        <f aca="false">AE6-Z6</f>
        <v>14.1333318666184</v>
      </c>
      <c r="AG6" s="26" t="n">
        <f aca="false">E23</f>
        <v>64.9164607320871</v>
      </c>
      <c r="AH6" s="29" t="n">
        <f aca="false">AG6*(AC6/AD6)</f>
        <v>67.5154457098309</v>
      </c>
      <c r="AJ6" s="0" t="n">
        <f aca="false">Z6</f>
        <v>0.566668133381598</v>
      </c>
    </row>
    <row r="7" customFormat="false" ht="13.8" hidden="false" customHeight="false" outlineLevel="0" collapsed="false">
      <c r="B7" s="21" t="s">
        <v>38</v>
      </c>
      <c r="C7" s="23" t="n">
        <v>4535</v>
      </c>
      <c r="D7" s="22" t="s">
        <v>39</v>
      </c>
      <c r="E7" s="30" t="n">
        <f aca="false">C7*2.205</f>
        <v>9999.675</v>
      </c>
      <c r="F7" s="20" t="s">
        <v>40</v>
      </c>
      <c r="I7" s="21" t="n">
        <v>2</v>
      </c>
      <c r="J7" s="24" t="s">
        <v>36</v>
      </c>
      <c r="K7" s="24" t="s">
        <v>37</v>
      </c>
      <c r="L7" s="24" t="n">
        <v>3.05</v>
      </c>
      <c r="M7" s="25" t="n">
        <f aca="false">L7*3.28</f>
        <v>10.004</v>
      </c>
      <c r="N7" s="24" t="n">
        <v>0.102</v>
      </c>
      <c r="O7" s="26" t="n">
        <f aca="false">N7*1000/25.4</f>
        <v>4.01574803149606</v>
      </c>
      <c r="P7" s="24" t="n">
        <v>10</v>
      </c>
      <c r="Q7" s="27" t="n">
        <f aca="false">IF(P7=0,0,P7+Q6)</f>
        <v>20</v>
      </c>
      <c r="S7" s="21" t="n">
        <v>2</v>
      </c>
      <c r="T7" s="28" t="n">
        <f aca="false">4*$E$32*P7*AC7*AG7^2/(9266*O7/12)</f>
        <v>0.0247691492530826</v>
      </c>
      <c r="U7" s="28" t="n">
        <f aca="false">(($E$7/3600/(PI()*(O7/12)^2/4))*(AG7-AG6)*$E$38/4640)</f>
        <v>0.0141513822015516</v>
      </c>
      <c r="V7" s="28" t="n">
        <f aca="false">T7*$E$27*$E$26</f>
        <v>0.196966780480058</v>
      </c>
      <c r="W7" s="28" t="n">
        <f aca="false">IF(K7="Vertical",M7*AC7*32.2/(144*32.174),0)</f>
        <v>0</v>
      </c>
      <c r="X7" s="28" t="n">
        <f aca="false">IF(K7="Vertical",M7*$E$7/3600/(PI()*(O7/12)^2/4)*32.2/(144*32.174*AG7*$E$38),0)</f>
        <v>0</v>
      </c>
      <c r="Y7" s="24"/>
      <c r="Z7" s="25" t="n">
        <f aca="false">SUM(T7:Y7)</f>
        <v>0.235887311934692</v>
      </c>
      <c r="AA7" s="25" t="n">
        <f aca="false">AB6</f>
        <v>25</v>
      </c>
      <c r="AB7" s="25" t="n">
        <f aca="false">AA7</f>
        <v>25</v>
      </c>
      <c r="AC7" s="28" t="n">
        <f aca="false">AD6</f>
        <v>0.0711542129071187</v>
      </c>
      <c r="AD7" s="28" t="n">
        <f aca="false">(29*AF7)/(19.32*(AB7+273.15))</f>
        <v>0.069966639009195</v>
      </c>
      <c r="AE7" s="28" t="n">
        <f aca="false">AF6</f>
        <v>14.1333318666184</v>
      </c>
      <c r="AF7" s="28" t="n">
        <f aca="false">AE7-Z7</f>
        <v>13.8974445546837</v>
      </c>
      <c r="AG7" s="26" t="n">
        <f aca="false">AH6</f>
        <v>67.5154457098309</v>
      </c>
      <c r="AH7" s="29" t="n">
        <f aca="false">AG7*(AC7/AD7)</f>
        <v>68.6614144481769</v>
      </c>
      <c r="AJ7" s="0" t="n">
        <f aca="false">AJ6+Z7</f>
        <v>0.80255544531629</v>
      </c>
    </row>
    <row r="8" customFormat="false" ht="13.8" hidden="false" customHeight="false" outlineLevel="0" collapsed="false">
      <c r="B8" s="21" t="s">
        <v>41</v>
      </c>
      <c r="C8" s="22"/>
      <c r="D8" s="22"/>
      <c r="E8" s="23" t="s">
        <v>42</v>
      </c>
      <c r="F8" s="20"/>
      <c r="I8" s="21" t="n">
        <v>3</v>
      </c>
      <c r="J8" s="24" t="s">
        <v>36</v>
      </c>
      <c r="K8" s="24" t="s">
        <v>37</v>
      </c>
      <c r="L8" s="24" t="n">
        <v>3.05</v>
      </c>
      <c r="M8" s="25" t="n">
        <f aca="false">L8*3.28</f>
        <v>10.004</v>
      </c>
      <c r="N8" s="24" t="n">
        <v>0.102</v>
      </c>
      <c r="O8" s="26" t="n">
        <f aca="false">N8*1000/25.4</f>
        <v>4.01574803149606</v>
      </c>
      <c r="P8" s="24" t="n">
        <v>10</v>
      </c>
      <c r="Q8" s="27" t="n">
        <f aca="false">IF(P8=0,0,P8+Q7)</f>
        <v>30</v>
      </c>
      <c r="S8" s="21" t="n">
        <v>3</v>
      </c>
      <c r="T8" s="28" t="n">
        <f aca="false">4*$E$32*P8*AC8*AG8^2/(9266*O8/12)</f>
        <v>0.0251895666912115</v>
      </c>
      <c r="U8" s="28" t="n">
        <f aca="false">(($E$7/3600/(PI()*(O8/12)^2/4))*(AG8-AG7)*$E$38/4640)</f>
        <v>0.00623975965472598</v>
      </c>
      <c r="V8" s="28" t="n">
        <f aca="false">T8*$E$27*$E$26</f>
        <v>0.200309982477019</v>
      </c>
      <c r="W8" s="28" t="n">
        <f aca="false">IF(K8="Vertical",M8*AC8*32.2/(144*32.174),0)</f>
        <v>0</v>
      </c>
      <c r="X8" s="28" t="n">
        <f aca="false">IF(K8="Vertical",M8*$E$7/3600/(PI()*(O8/12)^2/4)*32.2/(144*32.174*AG8*$E$38),0)</f>
        <v>0</v>
      </c>
      <c r="Y8" s="24"/>
      <c r="Z8" s="25" t="n">
        <f aca="false">SUM(T8:Y8)</f>
        <v>0.231739308822957</v>
      </c>
      <c r="AA8" s="25" t="n">
        <f aca="false">AB7</f>
        <v>25</v>
      </c>
      <c r="AB8" s="25" t="n">
        <f aca="false">AA8</f>
        <v>25</v>
      </c>
      <c r="AC8" s="28" t="n">
        <f aca="false">AD7</f>
        <v>0.069966639009195</v>
      </c>
      <c r="AD8" s="28" t="n">
        <f aca="false">(29*AF8)/(19.32*(AB8+273.15))</f>
        <v>0.0687999482193266</v>
      </c>
      <c r="AE8" s="28" t="n">
        <f aca="false">AF7</f>
        <v>13.8974445546837</v>
      </c>
      <c r="AF8" s="28" t="n">
        <f aca="false">AE8-Z8</f>
        <v>13.6657052458608</v>
      </c>
      <c r="AG8" s="26" t="n">
        <f aca="false">AH7</f>
        <v>68.6614144481769</v>
      </c>
      <c r="AH8" s="29" t="n">
        <f aca="false">AG8*(AC8/AD8)</f>
        <v>69.8257560200725</v>
      </c>
      <c r="AJ8" s="0" t="n">
        <f aca="false">AJ7+Z8</f>
        <v>1.03429475413925</v>
      </c>
    </row>
    <row r="9" customFormat="false" ht="13.8" hidden="false" customHeight="false" outlineLevel="0" collapsed="false">
      <c r="B9" s="21" t="s">
        <v>43</v>
      </c>
      <c r="C9" s="22"/>
      <c r="D9" s="22"/>
      <c r="E9" s="23" t="s">
        <v>44</v>
      </c>
      <c r="F9" s="20"/>
      <c r="I9" s="21" t="n">
        <v>4</v>
      </c>
      <c r="J9" s="24" t="s">
        <v>36</v>
      </c>
      <c r="K9" s="24" t="s">
        <v>37</v>
      </c>
      <c r="L9" s="24" t="n">
        <v>3.05</v>
      </c>
      <c r="M9" s="25" t="n">
        <f aca="false">L9*3.28</f>
        <v>10.004</v>
      </c>
      <c r="N9" s="24" t="n">
        <v>0.102</v>
      </c>
      <c r="O9" s="26" t="n">
        <f aca="false">N9*1000/25.4</f>
        <v>4.01574803149606</v>
      </c>
      <c r="P9" s="24" t="n">
        <v>10</v>
      </c>
      <c r="Q9" s="27" t="n">
        <f aca="false">IF(P9=0,0,P9+Q8)</f>
        <v>40</v>
      </c>
      <c r="S9" s="21" t="n">
        <v>4</v>
      </c>
      <c r="T9" s="28" t="n">
        <f aca="false">4*$E$32*P9*AC9*AG9^2/(9266*O9/12)</f>
        <v>0.0256167245048442</v>
      </c>
      <c r="U9" s="28" t="n">
        <f aca="false">(($E$7/3600/(PI()*(O9/12)^2/4))*(AG9-AG8)*$E$38/4640)</f>
        <v>0.00633979909008688</v>
      </c>
      <c r="V9" s="28" t="n">
        <f aca="false">T9*$E$27*$E$26</f>
        <v>0.203706784621835</v>
      </c>
      <c r="W9" s="28" t="n">
        <f aca="false">IF(K9="Vertical",M9*AC9*32.2/(144*32.174),0)</f>
        <v>0</v>
      </c>
      <c r="X9" s="28" t="n">
        <f aca="false">IF(K9="Vertical",M9*$E$7/3600/(PI()*(O9/12)^2/4)*32.2/(144*32.174*AG9*$E$38),0)</f>
        <v>0</v>
      </c>
      <c r="Y9" s="24"/>
      <c r="Z9" s="25" t="n">
        <f aca="false">SUM(T9:Y9)</f>
        <v>0.235663308216766</v>
      </c>
      <c r="AA9" s="25" t="n">
        <f aca="false">AB8</f>
        <v>25</v>
      </c>
      <c r="AB9" s="25" t="n">
        <f aca="false">AA9</f>
        <v>25</v>
      </c>
      <c r="AC9" s="28" t="n">
        <f aca="false">AD8</f>
        <v>0.0687999482193266</v>
      </c>
      <c r="AD9" s="28" t="n">
        <f aca="false">(29*AF9)/(19.32*(AB9+273.15))</f>
        <v>0.0676135020673858</v>
      </c>
      <c r="AE9" s="28" t="n">
        <f aca="false">AF8</f>
        <v>13.6657052458608</v>
      </c>
      <c r="AF9" s="28" t="n">
        <f aca="false">AE9-Z9</f>
        <v>13.430041937644</v>
      </c>
      <c r="AG9" s="26" t="n">
        <f aca="false">AH8</f>
        <v>69.8257560200725</v>
      </c>
      <c r="AH9" s="29" t="n">
        <f aca="false">AG9*(AC9/AD9)</f>
        <v>71.0510216401524</v>
      </c>
      <c r="AJ9" s="0" t="n">
        <f aca="false">AJ8+Z9</f>
        <v>1.26995806235601</v>
      </c>
    </row>
    <row r="10" customFormat="false" ht="13.8" hidden="false" customHeight="false" outlineLevel="0" collapsed="false">
      <c r="B10" s="21" t="s">
        <v>45</v>
      </c>
      <c r="C10" s="23" t="n">
        <v>0.102</v>
      </c>
      <c r="D10" s="22" t="s">
        <v>16</v>
      </c>
      <c r="E10" s="31" t="n">
        <f aca="false">C10*1000/25.4</f>
        <v>4.01574803149606</v>
      </c>
      <c r="F10" s="20" t="s">
        <v>46</v>
      </c>
      <c r="G10" s="0" t="n">
        <f aca="false">E10*0.083</f>
        <v>0.333307086614173</v>
      </c>
      <c r="H10" s="0" t="s">
        <v>17</v>
      </c>
      <c r="I10" s="21" t="n">
        <v>5</v>
      </c>
      <c r="J10" s="24" t="s">
        <v>36</v>
      </c>
      <c r="K10" s="24" t="s">
        <v>37</v>
      </c>
      <c r="L10" s="24" t="n">
        <v>3.05</v>
      </c>
      <c r="M10" s="25" t="n">
        <f aca="false">L10*3.28</f>
        <v>10.004</v>
      </c>
      <c r="N10" s="24" t="n">
        <v>0.102</v>
      </c>
      <c r="O10" s="26" t="n">
        <f aca="false">N10*1000/25.4</f>
        <v>4.01574803149606</v>
      </c>
      <c r="P10" s="24" t="n">
        <v>10</v>
      </c>
      <c r="Q10" s="27" t="n">
        <f aca="false">IF(P10=0,0,P10+Q9)</f>
        <v>50</v>
      </c>
      <c r="S10" s="21" t="n">
        <v>5</v>
      </c>
      <c r="T10" s="28" t="n">
        <f aca="false">4*$E$32*P10*AC10*AG10^2/(9266*O10/12)</f>
        <v>0.0260662333053766</v>
      </c>
      <c r="U10" s="28" t="n">
        <f aca="false">(($E$7/3600/(PI()*(O10/12)^2/4))*(AG10-AG9)*$E$38/4640)</f>
        <v>0.00667152839922337</v>
      </c>
      <c r="V10" s="28" t="n">
        <f aca="false">T10*$E$27*$E$26</f>
        <v>0.207281324075478</v>
      </c>
      <c r="W10" s="28" t="n">
        <f aca="false">IF(K10="Vertical",M10*AC10*32.2/(144*32.174),0)</f>
        <v>0</v>
      </c>
      <c r="X10" s="28" t="n">
        <f aca="false">IF(K10="Vertical",M10*$E$7/3600/(PI()*(O10/12)^2/4)*32.2/(144*32.174*AG10*$E$38),0)</f>
        <v>0</v>
      </c>
      <c r="Y10" s="24"/>
      <c r="Z10" s="25" t="n">
        <f aca="false">SUM(T10:Y10)</f>
        <v>0.240019085780078</v>
      </c>
      <c r="AA10" s="25" t="n">
        <f aca="false">AB9</f>
        <v>25</v>
      </c>
      <c r="AB10" s="25" t="n">
        <f aca="false">AA10</f>
        <v>25</v>
      </c>
      <c r="AC10" s="28" t="n">
        <f aca="false">AD9</f>
        <v>0.0676135020673858</v>
      </c>
      <c r="AD10" s="28" t="n">
        <f aca="false">(29*AF10)/(19.32*(AB10+273.15))</f>
        <v>0.066405126767595</v>
      </c>
      <c r="AE10" s="28" t="n">
        <f aca="false">AF9</f>
        <v>13.430041937644</v>
      </c>
      <c r="AF10" s="28" t="n">
        <f aca="false">AE10-Z10</f>
        <v>13.1900228518639</v>
      </c>
      <c r="AG10" s="26" t="n">
        <f aca="false">AH9</f>
        <v>71.0510216401524</v>
      </c>
      <c r="AH10" s="29" t="n">
        <f aca="false">AG10*(AC10/AD10)</f>
        <v>72.3439383734544</v>
      </c>
      <c r="AJ10" s="0" t="n">
        <f aca="false">AJ9+Z10</f>
        <v>1.50997714813609</v>
      </c>
    </row>
    <row r="11" customFormat="false" ht="13.8" hidden="false" customHeight="false" outlineLevel="0" collapsed="false">
      <c r="B11" s="21" t="s">
        <v>47</v>
      </c>
      <c r="C11" s="22"/>
      <c r="D11" s="22"/>
      <c r="E11" s="23" t="s">
        <v>48</v>
      </c>
      <c r="F11" s="20"/>
      <c r="I11" s="21" t="n">
        <v>6</v>
      </c>
      <c r="J11" s="24" t="s">
        <v>36</v>
      </c>
      <c r="K11" s="24" t="s">
        <v>37</v>
      </c>
      <c r="L11" s="24" t="n">
        <v>3.05</v>
      </c>
      <c r="M11" s="25" t="n">
        <f aca="false">L11*3.28</f>
        <v>10.004</v>
      </c>
      <c r="N11" s="24" t="n">
        <v>0.102</v>
      </c>
      <c r="O11" s="26" t="n">
        <f aca="false">N11*1000/25.4</f>
        <v>4.01574803149606</v>
      </c>
      <c r="P11" s="24" t="n">
        <v>10</v>
      </c>
      <c r="Q11" s="27" t="n">
        <f aca="false">IF(P11=0,0,P11+Q10)</f>
        <v>60</v>
      </c>
      <c r="S11" s="21" t="n">
        <v>6</v>
      </c>
      <c r="T11" s="28" t="n">
        <f aca="false">4*$E$32*P11*AC11*AG11^2/(9266*O11/12)</f>
        <v>0.0265405610270152</v>
      </c>
      <c r="U11" s="28" t="n">
        <f aca="false">(($E$7/3600/(PI()*(O11/12)^2/4))*(AG11-AG10)*$E$38/4640)</f>
        <v>0.00703988634194455</v>
      </c>
      <c r="V11" s="28" t="n">
        <f aca="false">T11*$E$27*$E$26</f>
        <v>0.211053226100412</v>
      </c>
      <c r="W11" s="28" t="n">
        <f aca="false">IF(K11="Vertical",M11*AC11*32.2/(144*32.174),0)</f>
        <v>0</v>
      </c>
      <c r="X11" s="28" t="n">
        <f aca="false">IF(K11="Vertical",M11*$E$7/3600/(PI()*(O11/12)^2/4)*32.2/(144*32.174*AG11*$E$38),0)</f>
        <v>0</v>
      </c>
      <c r="Y11" s="24"/>
      <c r="Z11" s="25" t="n">
        <f aca="false">SUM(T11:Y11)</f>
        <v>0.244633673469372</v>
      </c>
      <c r="AA11" s="25" t="n">
        <f aca="false">AB10</f>
        <v>25</v>
      </c>
      <c r="AB11" s="25" t="n">
        <f aca="false">AA11</f>
        <v>25</v>
      </c>
      <c r="AC11" s="28" t="n">
        <f aca="false">AD10</f>
        <v>0.066405126767595</v>
      </c>
      <c r="AD11" s="28" t="n">
        <f aca="false">(29*AF11)/(19.32*(AB11+273.15))</f>
        <v>0.0651735193412242</v>
      </c>
      <c r="AE11" s="28" t="n">
        <f aca="false">AF10</f>
        <v>13.1900228518639</v>
      </c>
      <c r="AF11" s="28" t="n">
        <f aca="false">AE11-Z11</f>
        <v>12.9453891783945</v>
      </c>
      <c r="AG11" s="26" t="n">
        <f aca="false">AH10</f>
        <v>72.3439383734544</v>
      </c>
      <c r="AH11" s="29" t="n">
        <f aca="false">AG11*(AC11/AD11)</f>
        <v>73.7110477862078</v>
      </c>
      <c r="AJ11" s="0" t="n">
        <f aca="false">AJ10+Z11</f>
        <v>1.75461082160546</v>
      </c>
    </row>
    <row r="12" customFormat="false" ht="13.8" hidden="false" customHeight="false" outlineLevel="0" collapsed="false">
      <c r="B12" s="21" t="s">
        <v>49</v>
      </c>
      <c r="C12" s="22"/>
      <c r="D12" s="22"/>
      <c r="E12" s="23" t="n">
        <v>29</v>
      </c>
      <c r="F12" s="20" t="s">
        <v>50</v>
      </c>
      <c r="I12" s="21" t="n">
        <v>7</v>
      </c>
      <c r="J12" s="24" t="s">
        <v>36</v>
      </c>
      <c r="K12" s="24" t="s">
        <v>37</v>
      </c>
      <c r="L12" s="24" t="n">
        <v>3.05</v>
      </c>
      <c r="M12" s="25" t="n">
        <f aca="false">L12*3.28</f>
        <v>10.004</v>
      </c>
      <c r="N12" s="24" t="n">
        <v>0.102</v>
      </c>
      <c r="O12" s="26" t="n">
        <f aca="false">N12*1000/25.4</f>
        <v>4.01574803149606</v>
      </c>
      <c r="P12" s="24" t="n">
        <v>10</v>
      </c>
      <c r="Q12" s="27" t="n">
        <f aca="false">IF(P12=0,0,P12+Q11)</f>
        <v>70</v>
      </c>
      <c r="S12" s="21" t="n">
        <v>7</v>
      </c>
      <c r="T12" s="28" t="n">
        <f aca="false">4*$E$32*P12*AC12*AG12^2/(9266*O12/12)</f>
        <v>0.0270421075506851</v>
      </c>
      <c r="U12" s="28" t="n">
        <f aca="false">(($E$7/3600/(PI()*(O12/12)^2/4))*(AG12-AG11)*$E$38/4640)</f>
        <v>0.00744386288373558</v>
      </c>
      <c r="V12" s="28" t="n">
        <f aca="false">T12*$E$27*$E$26</f>
        <v>0.215041574792522</v>
      </c>
      <c r="W12" s="28" t="n">
        <f aca="false">IF(K12="Vertical",M12*AC12*32.2/(144*32.174),0)</f>
        <v>0</v>
      </c>
      <c r="X12" s="28" t="n">
        <f aca="false">IF(K12="Vertical",M12*$E$7/3600/(PI()*(O12/12)^2/4)*32.2/(144*32.174*AG12*$E$38),0)</f>
        <v>0</v>
      </c>
      <c r="Y12" s="24"/>
      <c r="Z12" s="25" t="n">
        <f aca="false">SUM(T12:Y12)</f>
        <v>0.249527545226943</v>
      </c>
      <c r="AA12" s="25" t="n">
        <f aca="false">AB11</f>
        <v>25</v>
      </c>
      <c r="AB12" s="25" t="n">
        <f aca="false">AA12</f>
        <v>25</v>
      </c>
      <c r="AC12" s="28" t="n">
        <f aca="false">AD11</f>
        <v>0.0651735193412242</v>
      </c>
      <c r="AD12" s="28" t="n">
        <f aca="false">(29*AF12)/(19.32*(AB12+273.15))</f>
        <v>0.0639172737335481</v>
      </c>
      <c r="AE12" s="28" t="n">
        <f aca="false">AF11</f>
        <v>12.9453891783945</v>
      </c>
      <c r="AF12" s="28" t="n">
        <f aca="false">AE12-Z12</f>
        <v>12.6958616331676</v>
      </c>
      <c r="AG12" s="26" t="n">
        <f aca="false">AH11</f>
        <v>73.7110477862078</v>
      </c>
      <c r="AH12" s="29" t="n">
        <f aca="false">AG12*(AC12/AD12)</f>
        <v>75.1597826056034</v>
      </c>
      <c r="AJ12" s="0" t="n">
        <f aca="false">AJ11+Z12</f>
        <v>2.00413836683241</v>
      </c>
    </row>
    <row r="13" customFormat="false" ht="13.8" hidden="false" customHeight="false" outlineLevel="0" collapsed="false">
      <c r="B13" s="21" t="s">
        <v>51</v>
      </c>
      <c r="C13" s="22"/>
      <c r="D13" s="22"/>
      <c r="E13" s="23" t="n">
        <v>25</v>
      </c>
      <c r="F13" s="32" t="s">
        <v>52</v>
      </c>
      <c r="I13" s="21" t="n">
        <v>8</v>
      </c>
      <c r="J13" s="24" t="s">
        <v>36</v>
      </c>
      <c r="K13" s="24" t="s">
        <v>37</v>
      </c>
      <c r="L13" s="24" t="n">
        <v>3.05</v>
      </c>
      <c r="M13" s="25" t="n">
        <f aca="false">L13*3.28</f>
        <v>10.004</v>
      </c>
      <c r="N13" s="24" t="n">
        <v>0.102</v>
      </c>
      <c r="O13" s="26" t="n">
        <f aca="false">N13*1000/25.4</f>
        <v>4.01574803149606</v>
      </c>
      <c r="P13" s="24" t="n">
        <v>10</v>
      </c>
      <c r="Q13" s="27" t="n">
        <f aca="false">IF(P13=0,0,P13+Q12)</f>
        <v>80</v>
      </c>
      <c r="S13" s="21" t="n">
        <v>8</v>
      </c>
      <c r="T13" s="28" t="n">
        <f aca="false">4*$E$32*P13*AC13*AG13^2/(9266*O13/12)</f>
        <v>0.0275735996943342</v>
      </c>
      <c r="U13" s="28" t="n">
        <f aca="false">(($E$7/3600/(PI()*(O13/12)^2/4))*(AG13-AG12)*$E$38/4640)</f>
        <v>0.00788831036482578</v>
      </c>
      <c r="V13" s="28" t="n">
        <f aca="false">T13*$E$27*$E$26</f>
        <v>0.219268054083974</v>
      </c>
      <c r="W13" s="28" t="n">
        <f aca="false">IF(K13="Vertical",M13*AC13*32.2/(144*32.174),0)</f>
        <v>0</v>
      </c>
      <c r="X13" s="28" t="n">
        <f aca="false">IF(K13="Vertical",M13*$E$7/3600/(PI()*(O13/12)^2/4)*32.2/(144*32.174*AG13*$E$38),0)</f>
        <v>0</v>
      </c>
      <c r="Y13" s="24"/>
      <c r="Z13" s="25" t="n">
        <f aca="false">SUM(T13:Y13)</f>
        <v>0.254729964143134</v>
      </c>
      <c r="AA13" s="25" t="n">
        <f aca="false">AB12</f>
        <v>25</v>
      </c>
      <c r="AB13" s="25" t="n">
        <f aca="false">AA13</f>
        <v>25</v>
      </c>
      <c r="AC13" s="28" t="n">
        <f aca="false">AD12</f>
        <v>0.0639172737335481</v>
      </c>
      <c r="AD13" s="28" t="n">
        <f aca="false">(29*AF13)/(19.32*(AB13+273.15))</f>
        <v>0.062634836564909</v>
      </c>
      <c r="AE13" s="28" t="n">
        <f aca="false">AF12</f>
        <v>12.6958616331676</v>
      </c>
      <c r="AF13" s="28" t="n">
        <f aca="false">AE13-Z13</f>
        <v>12.4411316690245</v>
      </c>
      <c r="AG13" s="26" t="n">
        <f aca="false">AH12</f>
        <v>75.1597826056034</v>
      </c>
      <c r="AH13" s="29" t="n">
        <f aca="false">AG13*(AC13/AD13)</f>
        <v>76.6986658227788</v>
      </c>
      <c r="AJ13" s="0" t="n">
        <f aca="false">AJ12+Z13</f>
        <v>2.25886833097554</v>
      </c>
    </row>
    <row r="14" customFormat="false" ht="13.8" hidden="false" customHeight="false" outlineLevel="0" collapsed="false">
      <c r="B14" s="21" t="s">
        <v>53</v>
      </c>
      <c r="C14" s="33" t="n">
        <v>1.8E-005</v>
      </c>
      <c r="D14" s="34" t="s">
        <v>54</v>
      </c>
      <c r="E14" s="35" t="n">
        <f aca="false">C14*0.67196897514</f>
        <v>1.209544155252E-005</v>
      </c>
      <c r="F14" s="20" t="s">
        <v>55</v>
      </c>
      <c r="I14" s="21" t="n">
        <v>9</v>
      </c>
      <c r="J14" s="24" t="s">
        <v>56</v>
      </c>
      <c r="K14" s="24" t="s">
        <v>57</v>
      </c>
      <c r="L14" s="24" t="n">
        <v>3.05</v>
      </c>
      <c r="M14" s="25" t="n">
        <f aca="false">L14*3.28</f>
        <v>10.004</v>
      </c>
      <c r="N14" s="24" t="n">
        <v>0.102</v>
      </c>
      <c r="O14" s="26" t="n">
        <f aca="false">N14*1000/25.4</f>
        <v>4.01574803149606</v>
      </c>
      <c r="P14" s="24" t="n">
        <v>20</v>
      </c>
      <c r="Q14" s="27" t="n">
        <f aca="false">IF(P14=0,0,P14+Q13)</f>
        <v>100</v>
      </c>
      <c r="S14" s="21" t="n">
        <v>9</v>
      </c>
      <c r="T14" s="28" t="n">
        <f aca="false">4*$E$32*P14*AC14*AG14^2/(9266*O14/12)</f>
        <v>0.0562763285142644</v>
      </c>
      <c r="U14" s="28" t="n">
        <f aca="false">(($E$7/3600/(PI()*(O14/12)^2/4))*(AG14-AG13)*$E$38/4640)</f>
        <v>0.00837916523423219</v>
      </c>
      <c r="V14" s="28" t="n">
        <f aca="false">T14*$E$27*$E$26</f>
        <v>0.447515057196131</v>
      </c>
      <c r="W14" s="28" t="n">
        <f aca="false">IF(K14="Vertical",M14*AC14*32.2/(144*32.174),0)</f>
        <v>0</v>
      </c>
      <c r="X14" s="28" t="n">
        <f aca="false">IF(K14="Vertical",M14*$E$7/3600/(PI()*(O14/12)^2/4)*32.2/(144*32.174*AG14*$E$38),0)</f>
        <v>0</v>
      </c>
      <c r="Y14" s="24"/>
      <c r="Z14" s="25" t="n">
        <f aca="false">SUM(T14:Y14)</f>
        <v>0.512170550944628</v>
      </c>
      <c r="AA14" s="25" t="n">
        <f aca="false">AB13</f>
        <v>25</v>
      </c>
      <c r="AB14" s="25" t="n">
        <f aca="false">AA14</f>
        <v>25</v>
      </c>
      <c r="AC14" s="28" t="n">
        <f aca="false">AD13</f>
        <v>0.062634836564909</v>
      </c>
      <c r="AD14" s="28" t="n">
        <f aca="false">(29*AF14)/(19.32*(AB14+273.15))</f>
        <v>0.0600563156067515</v>
      </c>
      <c r="AE14" s="28" t="n">
        <f aca="false">AF13</f>
        <v>12.4411316690245</v>
      </c>
      <c r="AF14" s="28" t="n">
        <f aca="false">AE14-Z14</f>
        <v>11.9289611180798</v>
      </c>
      <c r="AG14" s="26" t="n">
        <f aca="false">AH13</f>
        <v>76.6986658227788</v>
      </c>
      <c r="AH14" s="29" t="n">
        <f aca="false">AG14*(AC14/AD14)</f>
        <v>79.9917269319841</v>
      </c>
      <c r="AJ14" s="0" t="n">
        <f aca="false">AJ13+Z14</f>
        <v>2.77103888192017</v>
      </c>
    </row>
    <row r="15" customFormat="false" ht="13.8" hidden="false" customHeight="false" outlineLevel="0" collapsed="false">
      <c r="B15" s="21"/>
      <c r="C15" s="22"/>
      <c r="D15" s="22"/>
      <c r="E15" s="36"/>
      <c r="F15" s="32"/>
      <c r="I15" s="21" t="n">
        <v>10</v>
      </c>
      <c r="J15" s="24" t="s">
        <v>36</v>
      </c>
      <c r="K15" s="24" t="s">
        <v>58</v>
      </c>
      <c r="L15" s="24" t="n">
        <v>3.05</v>
      </c>
      <c r="M15" s="25" t="n">
        <f aca="false">L15*3.28</f>
        <v>10.004</v>
      </c>
      <c r="N15" s="24" t="n">
        <v>0.102</v>
      </c>
      <c r="O15" s="26" t="n">
        <f aca="false">N15*1000/25.4</f>
        <v>4.01574803149606</v>
      </c>
      <c r="P15" s="24" t="n">
        <v>10</v>
      </c>
      <c r="Q15" s="27" t="n">
        <f aca="false">IF(P15=0,0,P15+Q14)</f>
        <v>110</v>
      </c>
      <c r="S15" s="21" t="n">
        <v>10</v>
      </c>
      <c r="T15" s="28" t="n">
        <f aca="false">4*$E$32*P15*AC15*AG15^2/(9266*O15/12)</f>
        <v>0.0293462777673945</v>
      </c>
      <c r="U15" s="28" t="n">
        <f aca="false">(($E$7/3600/(PI()*(O15/12)^2/4))*(AG15-AG14)*$E$38/4640)</f>
        <v>0.0179306024346031</v>
      </c>
      <c r="V15" s="28" t="n">
        <f aca="false">T15*$E$27*$E$26</f>
        <v>0.233364569443088</v>
      </c>
      <c r="W15" s="28" t="n">
        <f aca="false">IF(K15="Vertical",M15*AC15*32.2/(144*32.174),0)</f>
        <v>0.00417561732014984</v>
      </c>
      <c r="X15" s="28" t="n">
        <f aca="false">IF(K15="Vertical",M15*$E$7/3600/(PI()*(O15/12)^2/4)*32.2/(144*32.174*AG15*$E$38),0)</f>
        <v>0.0343123157905044</v>
      </c>
      <c r="Y15" s="24"/>
      <c r="Z15" s="25" t="n">
        <f aca="false">SUM(T15:Y15)</f>
        <v>0.31912938275574</v>
      </c>
      <c r="AA15" s="25" t="n">
        <f aca="false">AB14</f>
        <v>25</v>
      </c>
      <c r="AB15" s="25" t="n">
        <f aca="false">AA15</f>
        <v>25</v>
      </c>
      <c r="AC15" s="28" t="n">
        <f aca="false">AD14</f>
        <v>0.0600563156067515</v>
      </c>
      <c r="AD15" s="28" t="n">
        <f aca="false">(29*AF15)/(19.32*(AB15+273.15))</f>
        <v>0.0584496597764195</v>
      </c>
      <c r="AE15" s="28" t="n">
        <f aca="false">AF14</f>
        <v>11.9289611180798</v>
      </c>
      <c r="AF15" s="28" t="n">
        <f aca="false">AE15-Z15</f>
        <v>11.6098317353241</v>
      </c>
      <c r="AG15" s="26" t="n">
        <f aca="false">AH14</f>
        <v>79.9917269319841</v>
      </c>
      <c r="AH15" s="29" t="n">
        <f aca="false">AG15*(AC15/AD15)</f>
        <v>82.1905280019169</v>
      </c>
      <c r="AJ15" s="0" t="n">
        <f aca="false">AJ14+Z15</f>
        <v>3.09016826467591</v>
      </c>
    </row>
    <row r="16" customFormat="false" ht="13.8" hidden="false" customHeight="false" outlineLevel="0" collapsed="false">
      <c r="B16" s="21" t="s">
        <v>28</v>
      </c>
      <c r="C16" s="37" t="n">
        <f aca="false">IF(E5="vacuum",(1.01325)*100000*(E12/1000)/(8.314*(273.15+E13)),(1.01325+E15/1000)*100000*(E12/1000)/(8.314*(273.15+E13)))</f>
        <v>1.185413247784</v>
      </c>
      <c r="D16" s="22" t="s">
        <v>59</v>
      </c>
      <c r="E16" s="37" t="n">
        <f aca="false">C16*0.0624279606</f>
        <v>0.0740029315273773</v>
      </c>
      <c r="F16" s="20" t="s">
        <v>60</v>
      </c>
      <c r="I16" s="21" t="n">
        <v>11</v>
      </c>
      <c r="J16" s="24" t="s">
        <v>36</v>
      </c>
      <c r="K16" s="24" t="s">
        <v>58</v>
      </c>
      <c r="L16" s="24" t="n">
        <v>3.05</v>
      </c>
      <c r="M16" s="25" t="n">
        <f aca="false">L16*3.28</f>
        <v>10.004</v>
      </c>
      <c r="N16" s="24" t="n">
        <v>0.102</v>
      </c>
      <c r="O16" s="26" t="n">
        <f aca="false">N16*1000/25.4</f>
        <v>4.01574803149606</v>
      </c>
      <c r="P16" s="24" t="n">
        <v>10</v>
      </c>
      <c r="Q16" s="27" t="n">
        <f aca="false">IF(P16=0,0,P16+Q15)</f>
        <v>120</v>
      </c>
      <c r="S16" s="21" t="n">
        <v>11</v>
      </c>
      <c r="T16" s="28" t="n">
        <f aca="false">4*$E$32*P16*AC16*AG16^2/(9266*O16/12)</f>
        <v>0.0301529440243733</v>
      </c>
      <c r="U16" s="28" t="n">
        <f aca="false">(($E$7/3600/(PI()*(O16/12)^2/4))*(AG16-AG15)*$E$38/4640)</f>
        <v>0.0119723948357759</v>
      </c>
      <c r="V16" s="28" t="n">
        <f aca="false">T16*$E$27*$E$26</f>
        <v>0.239779261120043</v>
      </c>
      <c r="W16" s="28" t="n">
        <f aca="false">IF(K16="Vertical",M16*AC16*32.2/(144*32.174),0)</f>
        <v>0.00406390917014305</v>
      </c>
      <c r="X16" s="28" t="n">
        <f aca="false">IF(K16="Vertical",M16*$E$7/3600/(PI()*(O16/12)^2/4)*32.2/(144*32.174*AG16*$E$38),0)</f>
        <v>0.033394375992499</v>
      </c>
      <c r="Y16" s="24"/>
      <c r="Z16" s="25" t="n">
        <f aca="false">SUM(T16:Y16)</f>
        <v>0.319362885142835</v>
      </c>
      <c r="AA16" s="25" t="n">
        <f aca="false">AB15</f>
        <v>25</v>
      </c>
      <c r="AB16" s="25" t="n">
        <f aca="false">AA16</f>
        <v>25</v>
      </c>
      <c r="AC16" s="28" t="n">
        <f aca="false">AD15</f>
        <v>0.0584496597764195</v>
      </c>
      <c r="AD16" s="28" t="n">
        <f aca="false">(29*AF16)/(19.32*(AB16+273.15))</f>
        <v>0.0568418283790859</v>
      </c>
      <c r="AE16" s="28" t="n">
        <f aca="false">AF15</f>
        <v>11.6098317353241</v>
      </c>
      <c r="AF16" s="28" t="n">
        <f aca="false">AE16-Z16</f>
        <v>11.2904688501813</v>
      </c>
      <c r="AG16" s="26" t="n">
        <f aca="false">AH15</f>
        <v>82.1905280019169</v>
      </c>
      <c r="AH16" s="29" t="n">
        <f aca="false">AG16*(AC16/AD16)</f>
        <v>84.5153742507672</v>
      </c>
      <c r="AJ16" s="0" t="n">
        <f aca="false">AJ15+Z16</f>
        <v>3.40953114981874</v>
      </c>
    </row>
    <row r="17" customFormat="false" ht="13.8" hidden="false" customHeight="false" outlineLevel="0" collapsed="false">
      <c r="B17" s="21"/>
      <c r="C17" s="22"/>
      <c r="D17" s="22"/>
      <c r="E17" s="36"/>
      <c r="F17" s="20"/>
      <c r="I17" s="21" t="n">
        <v>12</v>
      </c>
      <c r="J17" s="24" t="s">
        <v>36</v>
      </c>
      <c r="K17" s="24" t="s">
        <v>58</v>
      </c>
      <c r="L17" s="24" t="n">
        <v>3.05</v>
      </c>
      <c r="M17" s="25" t="n">
        <f aca="false">L17*3.28</f>
        <v>10.004</v>
      </c>
      <c r="N17" s="24" t="n">
        <v>0.102</v>
      </c>
      <c r="O17" s="26" t="n">
        <f aca="false">N17*1000/25.4</f>
        <v>4.01574803149606</v>
      </c>
      <c r="P17" s="24" t="n">
        <v>10</v>
      </c>
      <c r="Q17" s="27" t="n">
        <f aca="false">IF(P17=0,0,P17+Q16)</f>
        <v>130</v>
      </c>
      <c r="S17" s="21" t="n">
        <v>12</v>
      </c>
      <c r="T17" s="28" t="n">
        <f aca="false">4*$E$32*P17*AC17*AG17^2/(9266*O17/12)</f>
        <v>0.0310058520237625</v>
      </c>
      <c r="U17" s="28" t="n">
        <f aca="false">(($E$7/3600/(PI()*(O17/12)^2/4))*(AG17-AG16)*$E$38/4640)</f>
        <v>0.0126587064215682</v>
      </c>
      <c r="V17" s="28" t="n">
        <f aca="false">T17*$E$27*$E$26</f>
        <v>0.246561671810409</v>
      </c>
      <c r="W17" s="28" t="n">
        <f aca="false">IF(K17="Vertical",M17*AC17*32.2/(144*32.174),0)</f>
        <v>0.00395211928488688</v>
      </c>
      <c r="X17" s="28" t="n">
        <f aca="false">IF(K17="Vertical",M17*$E$7/3600/(PI()*(O17/12)^2/4)*32.2/(144*32.174*AG17*$E$38),0)</f>
        <v>0.0324757645511239</v>
      </c>
      <c r="Y17" s="24"/>
      <c r="Z17" s="25" t="n">
        <f aca="false">SUM(T17:Y17)</f>
        <v>0.326654114091751</v>
      </c>
      <c r="AA17" s="25" t="n">
        <f aca="false">AB16</f>
        <v>25</v>
      </c>
      <c r="AB17" s="25" t="n">
        <f aca="false">AA17</f>
        <v>25</v>
      </c>
      <c r="AC17" s="28" t="n">
        <f aca="false">AD16</f>
        <v>0.0568418283790859</v>
      </c>
      <c r="AD17" s="28" t="n">
        <f aca="false">(29*AF17)/(19.32*(AB17+273.15))</f>
        <v>0.0551972893135335</v>
      </c>
      <c r="AE17" s="28" t="n">
        <f aca="false">AF16</f>
        <v>11.2904688501813</v>
      </c>
      <c r="AF17" s="28" t="n">
        <f aca="false">AE17-Z17</f>
        <v>10.9638147360895</v>
      </c>
      <c r="AG17" s="26" t="n">
        <f aca="false">AH16</f>
        <v>84.5153742507672</v>
      </c>
      <c r="AH17" s="29" t="n">
        <f aca="false">AG17*(AC17/AD17)</f>
        <v>87.033411573319</v>
      </c>
      <c r="AJ17" s="0" t="n">
        <f aca="false">AJ16+Z17</f>
        <v>3.73618526391049</v>
      </c>
    </row>
    <row r="18" customFormat="false" ht="13.8" hidden="false" customHeight="false" outlineLevel="0" collapsed="false">
      <c r="B18" s="21"/>
      <c r="C18" s="22"/>
      <c r="D18" s="22"/>
      <c r="E18" s="38"/>
      <c r="F18" s="20"/>
      <c r="I18" s="21" t="n">
        <v>13</v>
      </c>
      <c r="J18" s="24" t="s">
        <v>36</v>
      </c>
      <c r="K18" s="24" t="s">
        <v>58</v>
      </c>
      <c r="L18" s="24" t="n">
        <v>3.05</v>
      </c>
      <c r="M18" s="25" t="n">
        <f aca="false">L18*3.28</f>
        <v>10.004</v>
      </c>
      <c r="N18" s="24" t="n">
        <v>0.102</v>
      </c>
      <c r="O18" s="26" t="n">
        <f aca="false">N18*1000/25.4</f>
        <v>4.01574803149606</v>
      </c>
      <c r="P18" s="24" t="n">
        <v>10</v>
      </c>
      <c r="Q18" s="27" t="n">
        <f aca="false">IF(P18=0,0,P18+Q17)</f>
        <v>140</v>
      </c>
      <c r="S18" s="21" t="n">
        <v>13</v>
      </c>
      <c r="T18" s="28" t="n">
        <f aca="false">4*$E$32*P18*AC18*AG18^2/(9266*O18/12)</f>
        <v>0.0319296353389934</v>
      </c>
      <c r="U18" s="28" t="n">
        <f aca="false">(($E$7/3600/(PI()*(O18/12)^2/4))*(AG18-AG17)*$E$38/4640)</f>
        <v>0.0137106250533764</v>
      </c>
      <c r="V18" s="28" t="n">
        <f aca="false">T18*$E$27*$E$26</f>
        <v>0.253907690182016</v>
      </c>
      <c r="W18" s="28" t="n">
        <f aca="false">IF(K18="Vertical",M18*AC18*32.2/(144*32.174),0)</f>
        <v>0.0038377771755449</v>
      </c>
      <c r="X18" s="28" t="n">
        <f aca="false">IF(K18="Vertical",M18*$E$7/3600/(PI()*(O18/12)^2/4)*32.2/(144*32.174*AG18*$E$38),0)</f>
        <v>0.0315361807092421</v>
      </c>
      <c r="Y18" s="24"/>
      <c r="Z18" s="25" t="n">
        <f aca="false">SUM(T18:Y18)</f>
        <v>0.334921908459173</v>
      </c>
      <c r="AA18" s="25" t="n">
        <f aca="false">AB17</f>
        <v>25</v>
      </c>
      <c r="AB18" s="25" t="n">
        <f aca="false">AA18</f>
        <v>25</v>
      </c>
      <c r="AC18" s="28" t="n">
        <f aca="false">AD17</f>
        <v>0.0551972893135335</v>
      </c>
      <c r="AD18" s="28" t="n">
        <f aca="false">(29*AF18)/(19.32*(AB18+273.15))</f>
        <v>0.0535111260643672</v>
      </c>
      <c r="AE18" s="28" t="n">
        <f aca="false">AF17</f>
        <v>10.9638147360895</v>
      </c>
      <c r="AF18" s="28" t="n">
        <f aca="false">AE18-Z18</f>
        <v>10.6288928276303</v>
      </c>
      <c r="AG18" s="26" t="n">
        <f aca="false">AH17</f>
        <v>87.033411573319</v>
      </c>
      <c r="AH18" s="29" t="n">
        <f aca="false">AG18*(AC18/AD18)</f>
        <v>89.7758793709125</v>
      </c>
      <c r="AJ18" s="0" t="n">
        <f aca="false">AJ17+Z18</f>
        <v>4.07110717236967</v>
      </c>
    </row>
    <row r="19" customFormat="false" ht="13.8" hidden="false" customHeight="false" outlineLevel="0" collapsed="false">
      <c r="B19" s="21" t="s">
        <v>61</v>
      </c>
      <c r="C19" s="23" t="n">
        <v>535</v>
      </c>
      <c r="D19" s="22" t="s">
        <v>62</v>
      </c>
      <c r="E19" s="22"/>
      <c r="F19" s="20"/>
      <c r="I19" s="21" t="n">
        <v>14</v>
      </c>
      <c r="J19" s="24" t="s">
        <v>56</v>
      </c>
      <c r="K19" s="24" t="s">
        <v>63</v>
      </c>
      <c r="L19" s="24" t="n">
        <v>3.05</v>
      </c>
      <c r="M19" s="25" t="n">
        <f aca="false">L19*3.28</f>
        <v>10.004</v>
      </c>
      <c r="N19" s="24" t="n">
        <v>0.102</v>
      </c>
      <c r="O19" s="26" t="n">
        <f aca="false">N19*1000/25.4</f>
        <v>4.01574803149606</v>
      </c>
      <c r="P19" s="24" t="n">
        <v>20</v>
      </c>
      <c r="Q19" s="27" t="n">
        <f aca="false">IF(P19=0,0,P19+Q18)</f>
        <v>160</v>
      </c>
      <c r="S19" s="21" t="n">
        <v>14</v>
      </c>
      <c r="T19" s="28" t="n">
        <f aca="false">4*$E$32*P19*AC19*AG19^2/(9266*O19/12)</f>
        <v>0.0658715093142334</v>
      </c>
      <c r="U19" s="28" t="n">
        <f aca="false">(($E$7/3600/(PI()*(O19/12)^2/4))*(AG19-AG18)*$E$38/4640)</f>
        <v>0.0149326411316485</v>
      </c>
      <c r="V19" s="28" t="n">
        <f aca="false">T19*$E$27*$E$26</f>
        <v>0.523816905555285</v>
      </c>
      <c r="W19" s="28" t="n">
        <f aca="false">IF(K19="Vertical",M19*AC19*32.2/(144*32.174),0)</f>
        <v>0</v>
      </c>
      <c r="X19" s="28" t="n">
        <f aca="false">IF(K19="Vertical",M19*$E$7/3600/(PI()*(O19/12)^2/4)*32.2/(144*32.174*AG19*$E$38),0)</f>
        <v>0</v>
      </c>
      <c r="Y19" s="24"/>
      <c r="Z19" s="25" t="n">
        <f aca="false">SUM(T19:Y19)</f>
        <v>0.604621056001167</v>
      </c>
      <c r="AA19" s="25" t="n">
        <f aca="false">AB18</f>
        <v>25</v>
      </c>
      <c r="AB19" s="25" t="n">
        <f aca="false">AA19</f>
        <v>25</v>
      </c>
      <c r="AC19" s="28" t="n">
        <f aca="false">AD18</f>
        <v>0.0535111260643672</v>
      </c>
      <c r="AD19" s="28" t="n">
        <f aca="false">(29*AF19)/(19.32*(AB19+273.15))</f>
        <v>0.0504671633418583</v>
      </c>
      <c r="AE19" s="28" t="n">
        <f aca="false">AF18</f>
        <v>10.6288928276303</v>
      </c>
      <c r="AF19" s="28" t="n">
        <f aca="false">AE19-Z19</f>
        <v>10.0242717716292</v>
      </c>
      <c r="AG19" s="26" t="n">
        <f aca="false">AH18</f>
        <v>89.7758793709125</v>
      </c>
      <c r="AH19" s="29" t="n">
        <f aca="false">AG19*(AC19/AD19)</f>
        <v>95.190775158385</v>
      </c>
      <c r="AJ19" s="0" t="n">
        <f aca="false">AJ18+Z19</f>
        <v>4.67572822837083</v>
      </c>
    </row>
    <row r="20" customFormat="false" ht="13.8" hidden="false" customHeight="false" outlineLevel="0" collapsed="false">
      <c r="B20" s="21"/>
      <c r="C20" s="37" t="n">
        <f aca="false">C19*1.29</f>
        <v>690.15</v>
      </c>
      <c r="D20" s="22" t="s">
        <v>39</v>
      </c>
      <c r="E20" s="22"/>
      <c r="F20" s="20"/>
      <c r="I20" s="21" t="n">
        <v>15</v>
      </c>
      <c r="J20" s="24" t="s">
        <v>36</v>
      </c>
      <c r="K20" s="24" t="s">
        <v>37</v>
      </c>
      <c r="L20" s="24" t="n">
        <v>3.05</v>
      </c>
      <c r="M20" s="25" t="n">
        <f aca="false">L20*3.28</f>
        <v>10.004</v>
      </c>
      <c r="N20" s="24" t="n">
        <v>0.102</v>
      </c>
      <c r="O20" s="26" t="n">
        <f aca="false">N20*1000/25.4</f>
        <v>4.01574803149606</v>
      </c>
      <c r="P20" s="24" t="n">
        <v>10</v>
      </c>
      <c r="Q20" s="27" t="n">
        <f aca="false">IF(P20=0,0,P20+Q19)</f>
        <v>170</v>
      </c>
      <c r="S20" s="21" t="n">
        <v>15</v>
      </c>
      <c r="T20" s="28" t="n">
        <f aca="false">4*$E$32*P20*AC20*AG20^2/(9266*O20/12)</f>
        <v>0.0349222980404816</v>
      </c>
      <c r="U20" s="28" t="n">
        <f aca="false">(($E$7/3600/(PI()*(O20/12)^2/4))*(AG20-AG19)*$E$38/4640)</f>
        <v>0.0294839179627031</v>
      </c>
      <c r="V20" s="28" t="n">
        <f aca="false">T20*$E$27*$E$26</f>
        <v>0.277705646718675</v>
      </c>
      <c r="W20" s="28" t="n">
        <f aca="false">IF(K20="Vertical",M20*AC20*32.2/(144*32.174),0)</f>
        <v>0</v>
      </c>
      <c r="X20" s="28" t="n">
        <f aca="false">IF(K20="Vertical",M20*$E$7/3600/(PI()*(O20/12)^2/4)*32.2/(144*32.174*AG20*$E$38),0)</f>
        <v>0</v>
      </c>
      <c r="Y20" s="24"/>
      <c r="Z20" s="25" t="n">
        <f aca="false">SUM(T20:Y20)</f>
        <v>0.34211186272186</v>
      </c>
      <c r="AA20" s="25" t="n">
        <f aca="false">AB19</f>
        <v>25</v>
      </c>
      <c r="AB20" s="25" t="n">
        <f aca="false">AA20</f>
        <v>25</v>
      </c>
      <c r="AC20" s="28" t="n">
        <f aca="false">AD19</f>
        <v>0.0504671633418583</v>
      </c>
      <c r="AD20" s="28" t="n">
        <f aca="false">(29*AF20)/(19.32*(AB20+273.15))</f>
        <v>0.0487448022915487</v>
      </c>
      <c r="AE20" s="28" t="n">
        <f aca="false">AF19</f>
        <v>10.0242717716292</v>
      </c>
      <c r="AF20" s="28" t="n">
        <f aca="false">AE20-Z20</f>
        <v>9.6821599089073</v>
      </c>
      <c r="AG20" s="26" t="n">
        <f aca="false">AH19</f>
        <v>95.190775158385</v>
      </c>
      <c r="AH20" s="29" t="n">
        <f aca="false">AG20*(AC20/AD20)</f>
        <v>98.5542698444636</v>
      </c>
      <c r="AJ20" s="0" t="n">
        <f aca="false">AJ19+Z20</f>
        <v>5.01784009109269</v>
      </c>
    </row>
    <row r="21" customFormat="false" ht="13.8" hidden="false" customHeight="false" outlineLevel="0" collapsed="false">
      <c r="B21" s="21" t="s">
        <v>64</v>
      </c>
      <c r="C21" s="37" t="n">
        <f aca="false">C20/C16</f>
        <v>582.202030633758</v>
      </c>
      <c r="D21" s="22" t="s">
        <v>65</v>
      </c>
      <c r="E21" s="22"/>
      <c r="F21" s="20"/>
      <c r="I21" s="21" t="n">
        <v>16</v>
      </c>
      <c r="J21" s="24" t="s">
        <v>36</v>
      </c>
      <c r="K21" s="24" t="s">
        <v>37</v>
      </c>
      <c r="L21" s="24" t="n">
        <v>3.05</v>
      </c>
      <c r="M21" s="25" t="n">
        <f aca="false">L21*3.28</f>
        <v>10.004</v>
      </c>
      <c r="N21" s="24" t="n">
        <v>0.102</v>
      </c>
      <c r="O21" s="26" t="n">
        <f aca="false">N21*1000/25.4</f>
        <v>4.01574803149606</v>
      </c>
      <c r="P21" s="24" t="n">
        <v>10</v>
      </c>
      <c r="Q21" s="27" t="n">
        <f aca="false">IF(P21=0,0,P21+Q20)</f>
        <v>180</v>
      </c>
      <c r="S21" s="21" t="n">
        <v>16</v>
      </c>
      <c r="T21" s="28" t="n">
        <f aca="false">4*$E$32*P21*AC21*AG21^2/(9266*O21/12)</f>
        <v>0.0361562512643036</v>
      </c>
      <c r="U21" s="28" t="n">
        <f aca="false">(($E$7/3600/(PI()*(O21/12)^2/4))*(AG21-AG20)*$E$38/4640)</f>
        <v>0.0183141107944789</v>
      </c>
      <c r="V21" s="28" t="n">
        <f aca="false">T21*$E$27*$E$26</f>
        <v>0.287518167579842</v>
      </c>
      <c r="W21" s="28" t="n">
        <f aca="false">IF(K21="Vertical",M21*AC21*32.2/(144*32.174),0)</f>
        <v>0</v>
      </c>
      <c r="X21" s="28" t="n">
        <f aca="false">IF(K21="Vertical",M21*$E$7/3600/(PI()*(O21/12)^2/4)*32.2/(144*32.174*AG21*$E$38),0)</f>
        <v>0</v>
      </c>
      <c r="Y21" s="24"/>
      <c r="Z21" s="25" t="n">
        <f aca="false">SUM(T21:Y21)</f>
        <v>0.341988529638625</v>
      </c>
      <c r="AA21" s="25" t="n">
        <f aca="false">AB20</f>
        <v>25</v>
      </c>
      <c r="AB21" s="25" t="n">
        <f aca="false">AA21</f>
        <v>25</v>
      </c>
      <c r="AC21" s="28" t="n">
        <f aca="false">AD20</f>
        <v>0.0487448022915487</v>
      </c>
      <c r="AD21" s="28" t="n">
        <f aca="false">(29*AF21)/(19.32*(AB21+273.15))</f>
        <v>0.047023062161242</v>
      </c>
      <c r="AE21" s="28" t="n">
        <f aca="false">AF20</f>
        <v>9.6821599089073</v>
      </c>
      <c r="AF21" s="28" t="n">
        <f aca="false">AE21-Z21</f>
        <v>9.34017137926868</v>
      </c>
      <c r="AG21" s="26" t="n">
        <f aca="false">AH20</f>
        <v>98.5542698444636</v>
      </c>
      <c r="AH21" s="29" t="n">
        <f aca="false">AG21*(AC21/AD21)</f>
        <v>102.162814962653</v>
      </c>
      <c r="AJ21" s="0" t="n">
        <f aca="false">AJ20+Z21</f>
        <v>5.35982862073132</v>
      </c>
    </row>
    <row r="22" customFormat="false" ht="13.8" hidden="false" customHeight="false" outlineLevel="0" collapsed="false">
      <c r="B22" s="21"/>
      <c r="C22" s="37" t="n">
        <f aca="false">(C21/3600)/(PI()*C10^2/4)</f>
        <v>19.7916038817339</v>
      </c>
      <c r="D22" s="22" t="s">
        <v>66</v>
      </c>
      <c r="E22" s="22"/>
      <c r="F22" s="20"/>
      <c r="I22" s="21" t="n">
        <v>17</v>
      </c>
      <c r="J22" s="24" t="s">
        <v>36</v>
      </c>
      <c r="K22" s="24" t="s">
        <v>37</v>
      </c>
      <c r="L22" s="24" t="n">
        <v>3.05</v>
      </c>
      <c r="M22" s="25" t="n">
        <f aca="false">L22*3.28</f>
        <v>10.004</v>
      </c>
      <c r="N22" s="24" t="n">
        <v>0.102</v>
      </c>
      <c r="O22" s="26" t="n">
        <f aca="false">N22*1000/25.4</f>
        <v>4.01574803149606</v>
      </c>
      <c r="P22" s="24" t="n">
        <v>10</v>
      </c>
      <c r="Q22" s="27" t="n">
        <f aca="false">IF(P22=0,0,P22+Q21)</f>
        <v>190</v>
      </c>
      <c r="S22" s="21" t="n">
        <v>17</v>
      </c>
      <c r="T22" s="28" t="n">
        <f aca="false">4*$E$32*P22*AC22*AG22^2/(9266*O22/12)</f>
        <v>0.0374801052606627</v>
      </c>
      <c r="U22" s="28" t="n">
        <f aca="false">(($E$7/3600/(PI()*(O22/12)^2/4))*(AG22-AG21)*$E$38/4640)</f>
        <v>0.0196484018169966</v>
      </c>
      <c r="V22" s="28" t="n">
        <f aca="false">T22*$E$27*$E$26</f>
        <v>0.298045588478485</v>
      </c>
      <c r="W22" s="28" t="n">
        <f aca="false">IF(K22="Vertical",M22*AC22*32.2/(144*32.174),0)</f>
        <v>0</v>
      </c>
      <c r="X22" s="28" t="n">
        <f aca="false">IF(K22="Vertical",M22*$E$7/3600/(PI()*(O22/12)^2/4)*32.2/(144*32.174*AG22*$E$38),0)</f>
        <v>0</v>
      </c>
      <c r="Y22" s="24"/>
      <c r="Z22" s="25" t="n">
        <f aca="false">SUM(T22:Y22)</f>
        <v>0.355174095556145</v>
      </c>
      <c r="AA22" s="25" t="n">
        <f aca="false">AB21</f>
        <v>25</v>
      </c>
      <c r="AB22" s="25" t="n">
        <f aca="false">AA22</f>
        <v>25</v>
      </c>
      <c r="AC22" s="28" t="n">
        <f aca="false">AD21</f>
        <v>0.047023062161242</v>
      </c>
      <c r="AD22" s="28" t="n">
        <f aca="false">(29*AF22)/(19.32*(AB22+273.15))</f>
        <v>0.0452349393425891</v>
      </c>
      <c r="AE22" s="28" t="n">
        <f aca="false">AF21</f>
        <v>9.34017137926868</v>
      </c>
      <c r="AF22" s="28" t="n">
        <f aca="false">AE22-Z22</f>
        <v>8.98499728371253</v>
      </c>
      <c r="AG22" s="26" t="n">
        <f aca="false">AH21</f>
        <v>102.162814962653</v>
      </c>
      <c r="AH22" s="29" t="n">
        <f aca="false">AG22*(AC22/AD22)</f>
        <v>106.201278665876</v>
      </c>
      <c r="AJ22" s="0" t="n">
        <f aca="false">AJ21+Z22</f>
        <v>5.71500271628746</v>
      </c>
    </row>
    <row r="23" customFormat="false" ht="13.8" hidden="false" customHeight="false" outlineLevel="0" collapsed="false">
      <c r="B23" s="21" t="s">
        <v>67</v>
      </c>
      <c r="C23" s="37" t="n">
        <f aca="false">C22</f>
        <v>19.7916038817339</v>
      </c>
      <c r="D23" s="22" t="s">
        <v>66</v>
      </c>
      <c r="E23" s="37" t="n">
        <f aca="false">C23*3.28</f>
        <v>64.9164607320871</v>
      </c>
      <c r="F23" s="20" t="s">
        <v>68</v>
      </c>
      <c r="I23" s="21" t="n">
        <v>18</v>
      </c>
      <c r="J23" s="24" t="s">
        <v>36</v>
      </c>
      <c r="K23" s="24" t="s">
        <v>37</v>
      </c>
      <c r="L23" s="24" t="n">
        <v>3.05</v>
      </c>
      <c r="M23" s="25" t="n">
        <f aca="false">L23*3.28</f>
        <v>10.004</v>
      </c>
      <c r="N23" s="24" t="n">
        <v>0.102</v>
      </c>
      <c r="O23" s="26" t="n">
        <f aca="false">N23*1000/25.4</f>
        <v>4.01574803149606</v>
      </c>
      <c r="P23" s="24" t="n">
        <v>10</v>
      </c>
      <c r="Q23" s="27" t="n">
        <f aca="false">IF(P23=0,0,P23+Q22)</f>
        <v>200</v>
      </c>
      <c r="S23" s="21" t="n">
        <v>18</v>
      </c>
      <c r="T23" s="28" t="n">
        <f aca="false">4*$E$32*P23*AC23*AG23^2/(9266*O23/12)</f>
        <v>0.0389616819453253</v>
      </c>
      <c r="U23" s="28" t="n">
        <f aca="false">(($E$7/3600/(PI()*(O23/12)^2/4))*(AG23-AG22)*$E$38/4640)</f>
        <v>0.0219892934591005</v>
      </c>
      <c r="V23" s="28" t="n">
        <f aca="false">T23*$E$27*$E$26</f>
        <v>0.309827236149569</v>
      </c>
      <c r="W23" s="28" t="n">
        <f aca="false">IF(K23="Vertical",M23*AC23*32.2/(144*32.174),0)</f>
        <v>0</v>
      </c>
      <c r="X23" s="28" t="n">
        <f aca="false">IF(K23="Vertical",M23*$E$7/3600/(PI()*(O23/12)^2/4)*32.2/(144*32.174*AG23*$E$38),0)</f>
        <v>0</v>
      </c>
      <c r="Y23" s="24"/>
      <c r="Z23" s="25" t="n">
        <f aca="false">SUM(T23:Y23)</f>
        <v>0.370778211553995</v>
      </c>
      <c r="AA23" s="25" t="n">
        <f aca="false">AB22</f>
        <v>25</v>
      </c>
      <c r="AB23" s="25" t="n">
        <f aca="false">AA23</f>
        <v>25</v>
      </c>
      <c r="AC23" s="28" t="n">
        <f aca="false">AD22</f>
        <v>0.0452349393425891</v>
      </c>
      <c r="AD23" s="28" t="n">
        <f aca="false">(29*AF23)/(19.32*(AB23+273.15))</f>
        <v>0.0433682576531464</v>
      </c>
      <c r="AE23" s="28" t="n">
        <f aca="false">AF22</f>
        <v>8.98499728371253</v>
      </c>
      <c r="AF23" s="28" t="n">
        <f aca="false">AE23-Z23</f>
        <v>8.61421907215854</v>
      </c>
      <c r="AG23" s="26" t="n">
        <f aca="false">AH22</f>
        <v>106.201278665876</v>
      </c>
      <c r="AH23" s="29" t="n">
        <f aca="false">AG23*(AC23/AD23)</f>
        <v>110.772455674336</v>
      </c>
      <c r="AJ23" s="0" t="n">
        <f aca="false">AJ22+Z23</f>
        <v>6.08578092784146</v>
      </c>
    </row>
    <row r="24" customFormat="false" ht="13.8" hidden="false" customHeight="false" outlineLevel="0" collapsed="false">
      <c r="B24" s="21" t="s">
        <v>69</v>
      </c>
      <c r="C24" s="22"/>
      <c r="D24" s="22"/>
      <c r="E24" s="37" t="n">
        <f aca="false">E23*$E$38</f>
        <v>51.9331685856697</v>
      </c>
      <c r="F24" s="20" t="s">
        <v>68</v>
      </c>
      <c r="I24" s="21" t="n">
        <v>19</v>
      </c>
      <c r="J24" s="24" t="s">
        <v>56</v>
      </c>
      <c r="K24" s="24" t="s">
        <v>70</v>
      </c>
      <c r="L24" s="24" t="n">
        <v>3.05</v>
      </c>
      <c r="M24" s="25" t="n">
        <f aca="false">L24*3.28</f>
        <v>10.004</v>
      </c>
      <c r="N24" s="24" t="n">
        <v>0.102</v>
      </c>
      <c r="O24" s="26" t="n">
        <f aca="false">N24*1000/25.4</f>
        <v>4.01574803149606</v>
      </c>
      <c r="P24" s="24" t="n">
        <v>20</v>
      </c>
      <c r="Q24" s="27" t="n">
        <f aca="false">IF(P24=0,0,P24+Q23)</f>
        <v>220</v>
      </c>
      <c r="S24" s="21" t="n">
        <v>19</v>
      </c>
      <c r="T24" s="28" t="n">
        <f aca="false">4*$E$32*P24*AC24*AG24^2/(9266*O24/12)</f>
        <v>0.0812773864967192</v>
      </c>
      <c r="U24" s="28" t="n">
        <f aca="false">(($E$7/3600/(PI()*(O24/12)^2/4))*(AG24-AG23)*$E$38/4640)</f>
        <v>0.0248898987534002</v>
      </c>
      <c r="V24" s="28" t="n">
        <f aca="false">T24*$E$27*$E$26</f>
        <v>0.646325999351785</v>
      </c>
      <c r="W24" s="28" t="n">
        <f aca="false">IF(K24="Vertical",M24*AC24*32.2/(144*32.174),0)</f>
        <v>0</v>
      </c>
      <c r="X24" s="28" t="n">
        <f aca="false">IF(K24="Vertical",M24*$E$7/3600/(PI()*(O24/12)^2/4)*32.2/(144*32.174*AG24*$E$38),0)</f>
        <v>0</v>
      </c>
      <c r="Y24" s="24"/>
      <c r="Z24" s="25" t="n">
        <f aca="false">SUM(T24:Y24)</f>
        <v>0.752493284601905</v>
      </c>
      <c r="AA24" s="25" t="n">
        <f aca="false">AB23</f>
        <v>25</v>
      </c>
      <c r="AB24" s="25" t="n">
        <f aca="false">AA24</f>
        <v>25</v>
      </c>
      <c r="AC24" s="28" t="n">
        <f aca="false">AD23</f>
        <v>0.0433682576531464</v>
      </c>
      <c r="AD24" s="28" t="n">
        <f aca="false">(29*AF24)/(19.32*(AB24+273.15))</f>
        <v>0.0395798326809567</v>
      </c>
      <c r="AE24" s="28" t="n">
        <f aca="false">AF23</f>
        <v>8.61421907215854</v>
      </c>
      <c r="AF24" s="28" t="n">
        <f aca="false">AE24-Z24</f>
        <v>7.86172578755663</v>
      </c>
      <c r="AG24" s="26" t="n">
        <f aca="false">AH23</f>
        <v>110.772455674336</v>
      </c>
      <c r="AH24" s="29" t="n">
        <f aca="false">AG24*(AC24/AD24)</f>
        <v>121.375156819895</v>
      </c>
      <c r="AJ24" s="0" t="n">
        <f aca="false">AJ23+Z24</f>
        <v>6.83827421244336</v>
      </c>
    </row>
    <row r="25" customFormat="false" ht="13.8" hidden="false" customHeight="false" outlineLevel="0" collapsed="false">
      <c r="B25" s="21" t="s">
        <v>71</v>
      </c>
      <c r="C25" s="22"/>
      <c r="D25" s="22"/>
      <c r="E25" s="37" t="n">
        <f aca="false">E23*(PI()*G10^2/4)*E16*3600</f>
        <v>1508.98608559464</v>
      </c>
      <c r="F25" s="20" t="s">
        <v>40</v>
      </c>
      <c r="I25" s="39" t="n">
        <v>20</v>
      </c>
      <c r="J25" s="40" t="s">
        <v>36</v>
      </c>
      <c r="K25" s="40" t="s">
        <v>37</v>
      </c>
      <c r="L25" s="40" t="n">
        <v>3.05</v>
      </c>
      <c r="M25" s="41" t="n">
        <f aca="false">L25*3.28</f>
        <v>10.004</v>
      </c>
      <c r="N25" s="40" t="n">
        <v>0.102</v>
      </c>
      <c r="O25" s="42" t="n">
        <f aca="false">N25*1000/25.4</f>
        <v>4.01574803149606</v>
      </c>
      <c r="P25" s="40" t="n">
        <v>10</v>
      </c>
      <c r="Q25" s="43" t="n">
        <f aca="false">IF(P25=0,0,P25+Q24)</f>
        <v>230</v>
      </c>
      <c r="S25" s="39" t="n">
        <v>20</v>
      </c>
      <c r="T25" s="44" t="n">
        <f aca="false">4*$E$32*P25*AC25*AG25^2/(9266*O25/12)</f>
        <v>0.0445284681642933</v>
      </c>
      <c r="U25" s="44" t="n">
        <f aca="false">(($E$7/3600/(PI()*(O25/12)^2/4))*(AG25-AG24)*$E$38/4640)</f>
        <v>0.0577313364888676</v>
      </c>
      <c r="V25" s="44" t="n">
        <f aca="false">T25*$E$27*$E$26</f>
        <v>0.354094883292695</v>
      </c>
      <c r="W25" s="44" t="n">
        <f aca="false">IF(K25="Vertical",M25*AC25*32.2/(144*32.174),0)</f>
        <v>0</v>
      </c>
      <c r="X25" s="44" t="n">
        <f aca="false">IF(K25="Vertical",M25*$E$7/3600/(PI()*(O25/12)^2/4)*32.2/(144*32.174*AG25*$E$38),0)</f>
        <v>0</v>
      </c>
      <c r="Y25" s="40" t="n">
        <v>0.2</v>
      </c>
      <c r="Z25" s="41" t="n">
        <f aca="false">SUM(T25:Y25)</f>
        <v>0.656354687945856</v>
      </c>
      <c r="AA25" s="41" t="n">
        <f aca="false">AB24</f>
        <v>25</v>
      </c>
      <c r="AB25" s="41" t="n">
        <f aca="false">AA25</f>
        <v>25</v>
      </c>
      <c r="AC25" s="44" t="n">
        <f aca="false">AD24</f>
        <v>0.0395798326809567</v>
      </c>
      <c r="AD25" s="44" t="n">
        <f aca="false">(29*AF25)/(19.32*(AB25+273.15))</f>
        <v>0.0362754171581746</v>
      </c>
      <c r="AE25" s="44" t="n">
        <f aca="false">AF24</f>
        <v>7.86172578755663</v>
      </c>
      <c r="AF25" s="44" t="n">
        <f aca="false">AE25-Z25</f>
        <v>7.20537109961078</v>
      </c>
      <c r="AG25" s="42" t="n">
        <f aca="false">AH24</f>
        <v>121.375156819895</v>
      </c>
      <c r="AH25" s="45" t="n">
        <f aca="false">AG25*(AC25/AD25)</f>
        <v>132.43151354012</v>
      </c>
      <c r="AJ25" s="0" t="n">
        <f aca="false">AJ24+Z25</f>
        <v>7.49462890038922</v>
      </c>
    </row>
    <row r="26" customFormat="false" ht="13.8" hidden="false" customHeight="false" outlineLevel="0" collapsed="false">
      <c r="B26" s="21" t="s">
        <v>72</v>
      </c>
      <c r="C26" s="22"/>
      <c r="D26" s="22"/>
      <c r="E26" s="37" t="n">
        <f aca="false">E7/E25</f>
        <v>6.62675096573833</v>
      </c>
      <c r="F26" s="20"/>
      <c r="Z26" s="46" t="n">
        <f aca="false">SUM(Z6:Z25)</f>
        <v>7.49462890038922</v>
      </c>
      <c r="AB26" s="47" t="s">
        <v>73</v>
      </c>
    </row>
    <row r="27" customFormat="false" ht="13.8" hidden="false" customHeight="false" outlineLevel="0" collapsed="false">
      <c r="B27" s="21" t="s">
        <v>74</v>
      </c>
      <c r="C27" s="22"/>
      <c r="D27" s="22"/>
      <c r="E27" s="23" t="n">
        <v>1.2</v>
      </c>
      <c r="F27" s="20"/>
      <c r="I27" s="48" t="s">
        <v>75</v>
      </c>
      <c r="P27" s="48" t="s">
        <v>76</v>
      </c>
    </row>
    <row r="28" customFormat="false" ht="13.8" hidden="false" customHeight="false" outlineLevel="0" collapsed="false">
      <c r="B28" s="21" t="s">
        <v>77</v>
      </c>
      <c r="C28" s="22"/>
      <c r="D28" s="22"/>
      <c r="E28" s="23" t="n">
        <v>0.05</v>
      </c>
      <c r="F28" s="20" t="s">
        <v>78</v>
      </c>
    </row>
    <row r="29" customFormat="false" ht="13.8" hidden="false" customHeight="false" outlineLevel="0" collapsed="false">
      <c r="B29" s="21" t="s">
        <v>79</v>
      </c>
      <c r="C29" s="22"/>
      <c r="D29" s="22"/>
      <c r="E29" s="37" t="n">
        <f aca="false">(E28/1000)/C10</f>
        <v>0.000490196078431373</v>
      </c>
      <c r="F29" s="20"/>
    </row>
    <row r="30" customFormat="false" ht="13.8" hidden="false" customHeight="false" outlineLevel="0" collapsed="false">
      <c r="B30" s="21" t="s">
        <v>80</v>
      </c>
      <c r="C30" s="22"/>
      <c r="D30" s="22"/>
      <c r="E30" s="35" t="n">
        <f aca="false">G10*E23*E16/E14</f>
        <v>132381.280703161</v>
      </c>
      <c r="F30" s="20"/>
    </row>
    <row r="31" customFormat="false" ht="12.8" hidden="false" customHeight="false" outlineLevel="0" collapsed="false">
      <c r="B31" s="21"/>
      <c r="C31" s="22"/>
      <c r="D31" s="22"/>
      <c r="E31" s="22"/>
      <c r="F31" s="20"/>
    </row>
    <row r="32" customFormat="false" ht="13.8" hidden="false" customHeight="false" outlineLevel="0" collapsed="false">
      <c r="B32" s="49" t="s">
        <v>81</v>
      </c>
      <c r="C32" s="22"/>
      <c r="D32" s="22"/>
      <c r="E32" s="50" t="n">
        <v>0.00592</v>
      </c>
      <c r="F32" s="20"/>
    </row>
    <row r="33" customFormat="false" ht="13.8" hidden="false" customHeight="false" outlineLevel="0" collapsed="false">
      <c r="B33" s="21" t="s">
        <v>82</v>
      </c>
      <c r="C33" s="22"/>
      <c r="D33" s="22"/>
      <c r="E33" s="35" t="n">
        <f aca="false">-2*LOG(E29/3.7+2.51/(E30*(E32^0.5)))</f>
        <v>6.84292490481559</v>
      </c>
      <c r="F33" s="20"/>
    </row>
    <row r="34" customFormat="false" ht="13.8" hidden="false" customHeight="false" outlineLevel="0" collapsed="false">
      <c r="B34" s="21" t="s">
        <v>83</v>
      </c>
      <c r="C34" s="22"/>
      <c r="D34" s="22"/>
      <c r="E34" s="37" t="n">
        <f aca="false">(1/E33)^2</f>
        <v>0.0213558298478976</v>
      </c>
      <c r="F34" s="20"/>
    </row>
    <row r="35" customFormat="false" ht="13.8" hidden="false" customHeight="false" outlineLevel="0" collapsed="false">
      <c r="B35" s="21" t="s">
        <v>84</v>
      </c>
      <c r="C35" s="22"/>
      <c r="D35" s="22"/>
      <c r="E35" s="37" t="n">
        <f aca="false">E34/4</f>
        <v>0.0053389574619744</v>
      </c>
      <c r="F35" s="20"/>
    </row>
    <row r="36" customFormat="false" ht="13.8" hidden="false" customHeight="false" outlineLevel="0" collapsed="false">
      <c r="B36" s="21" t="s">
        <v>85</v>
      </c>
      <c r="C36" s="22"/>
      <c r="D36" s="22"/>
      <c r="E36" s="51" t="n">
        <f aca="false">E32-E35</f>
        <v>0.000581042538025605</v>
      </c>
      <c r="F36" s="20"/>
      <c r="G36" s="0" t="s">
        <v>86</v>
      </c>
    </row>
    <row r="37" customFormat="false" ht="12.8" hidden="false" customHeight="false" outlineLevel="0" collapsed="false">
      <c r="B37" s="21"/>
      <c r="C37" s="22"/>
      <c r="D37" s="22"/>
      <c r="E37" s="22"/>
      <c r="F37" s="20"/>
    </row>
    <row r="38" customFormat="false" ht="13.8" hidden="false" customHeight="false" outlineLevel="0" collapsed="false">
      <c r="B38" s="39" t="s">
        <v>87</v>
      </c>
      <c r="C38" s="52"/>
      <c r="D38" s="52"/>
      <c r="E38" s="53" t="n">
        <v>0.8</v>
      </c>
      <c r="F38" s="54"/>
    </row>
    <row r="40" customFormat="false" ht="12.8" hidden="false" customHeight="false" outlineLevel="0" collapsed="false">
      <c r="B40" s="55" t="s">
        <v>88</v>
      </c>
      <c r="C40" s="56" t="n">
        <f aca="false">Z26</f>
        <v>7.49462890038922</v>
      </c>
      <c r="D40" s="57" t="s">
        <v>89</v>
      </c>
      <c r="E40" s="56" t="n">
        <f aca="false">C40/14.7</f>
        <v>0.50983870070675</v>
      </c>
      <c r="F40" s="58" t="s">
        <v>90</v>
      </c>
    </row>
    <row r="42" customFormat="false" ht="13.05" hidden="false" customHeight="false" outlineLevel="0" collapsed="false">
      <c r="B42" s="59" t="s">
        <v>91</v>
      </c>
    </row>
    <row r="44" customFormat="false" ht="12.8" hidden="false" customHeight="false" outlineLevel="0" collapsed="false">
      <c r="B44" s="60" t="s">
        <v>92</v>
      </c>
    </row>
    <row r="46" customFormat="false" ht="16.4" hidden="false" customHeight="true" outlineLevel="0" collapsed="false">
      <c r="B46" s="61" t="s">
        <v>93</v>
      </c>
      <c r="C46" s="61"/>
      <c r="D46" s="61"/>
      <c r="E46" s="61"/>
      <c r="F46" s="61"/>
      <c r="G46" s="61"/>
      <c r="H46" s="61"/>
      <c r="I46" s="61"/>
      <c r="J46" s="61"/>
    </row>
    <row r="48" s="2" customFormat="true" ht="12.8" hidden="false" customHeight="false" outlineLevel="0" collapsed="false">
      <c r="A48" s="1" t="s">
        <v>0</v>
      </c>
    </row>
    <row r="53" customFormat="false" ht="12.8" hidden="false" customHeight="false" outlineLevel="0" collapsed="false">
      <c r="E53" s="0" t="n">
        <f aca="false">(-4*LOG(0.27*(0.05/1000/C10)+(7/E30)^0.9))^-2</f>
        <v>0.00492490874058194</v>
      </c>
    </row>
  </sheetData>
  <sheetProtection sheet="true" password="c80a" objects="true" scenarios="true"/>
  <mergeCells count="6">
    <mergeCell ref="B3:F3"/>
    <mergeCell ref="I3:Q3"/>
    <mergeCell ref="S3:AH3"/>
    <mergeCell ref="B4:F4"/>
    <mergeCell ref="T4:Y4"/>
    <mergeCell ref="B46:J46"/>
  </mergeCells>
  <hyperlinks>
    <hyperlink ref="B42" r:id="rId1" display="If you spot a mistake or wish to suggest an improvement, please contact admin@powderprocess.net"/>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2"/>
</worksheet>
</file>

<file path=docProps/app.xml><?xml version="1.0" encoding="utf-8"?>
<Properties xmlns="http://schemas.openxmlformats.org/officeDocument/2006/extended-properties" xmlns:vt="http://schemas.openxmlformats.org/officeDocument/2006/docPropsVTypes">
  <Template/>
  <TotalTime>25</TotalTime>
  <Application>LibreOffice/7.1.6.2$Windows_X86_64 LibreOffice_project/0e133318fcee89abacd6a7d077e292f1145735c3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2018-09-20T19:46:51Z</dcterms:created>
  <dc:creator/>
  <dc:description>www.powderprocess.net</dc:description>
  <dc:language>en-US</dc:language>
  <cp:lastModifiedBy/>
  <dcterms:modified xsi:type="dcterms:W3CDTF">2021-12-14T20:42:30Z</dcterms:modified>
  <cp:revision>13</cp:revision>
  <dc:subject>Calculation method for Dilute Phase pneumatic transport</dc:subject>
  <dc:title>Modified Zenz Othmer calculation method for Dilute Phase pneumatic transport</dc:title>
</cp:coreProperties>
</file>